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avsar\Desktop\B-5 Formüllü\"/>
    </mc:Choice>
  </mc:AlternateContent>
  <bookViews>
    <workbookView xWindow="120" yWindow="240" windowWidth="9720" windowHeight="6525"/>
  </bookViews>
  <sheets>
    <sheet name="T 5.18" sheetId="1" r:id="rId1"/>
  </sheets>
  <definedNames>
    <definedName name="Print_Area_MI" localSheetId="0">'T 5.18'!$A$1:$BU$34</definedName>
    <definedName name="_xlnm.Print_Area" localSheetId="0">'T 5.18'!$A$1:$BU$33</definedName>
  </definedNames>
  <calcPr calcId="162913"/>
</workbook>
</file>

<file path=xl/calcChain.xml><?xml version="1.0" encoding="utf-8"?>
<calcChain xmlns="http://schemas.openxmlformats.org/spreadsheetml/2006/main">
  <c r="BS30" i="1" l="1"/>
  <c r="BS31" i="1"/>
  <c r="BS14" i="1"/>
  <c r="BS15" i="1"/>
  <c r="BS16" i="1"/>
  <c r="AK30" i="1"/>
  <c r="AK31" i="1"/>
  <c r="AK26" i="1" l="1"/>
  <c r="BS26" i="1" s="1"/>
  <c r="AK27" i="1"/>
  <c r="BS27" i="1" s="1"/>
  <c r="AK28" i="1"/>
  <c r="BS28" i="1" s="1"/>
  <c r="AK29" i="1"/>
  <c r="BS29" i="1" s="1"/>
  <c r="BS11" i="1"/>
  <c r="BS12" i="1"/>
  <c r="BS13" i="1"/>
  <c r="BS10" i="1" l="1"/>
  <c r="AK25" i="1"/>
  <c r="BS25" i="1" s="1"/>
  <c r="BS6" i="1" l="1"/>
  <c r="BS7" i="1"/>
  <c r="BS8" i="1"/>
  <c r="BS9" i="1"/>
  <c r="BR15" i="1"/>
  <c r="BR16" i="1"/>
  <c r="BR17" i="1"/>
  <c r="BS21" i="1"/>
  <c r="BR30" i="1"/>
  <c r="BR31" i="1"/>
  <c r="BR32" i="1"/>
  <c r="AJ30" i="1"/>
  <c r="AJ31" i="1"/>
  <c r="AJ32" i="1"/>
  <c r="AK24" i="1"/>
  <c r="BS24" i="1" s="1"/>
  <c r="AK23" i="1"/>
  <c r="BS23" i="1" s="1"/>
  <c r="AK22" i="1"/>
  <c r="BS22" i="1" s="1"/>
  <c r="AK21" i="1"/>
  <c r="BR12" i="1" l="1"/>
  <c r="BR13" i="1"/>
  <c r="BR14" i="1"/>
  <c r="AJ27" i="1"/>
  <c r="AJ28" i="1"/>
  <c r="AJ29" i="1"/>
  <c r="BR9" i="1" l="1"/>
  <c r="BR10" i="1"/>
  <c r="BR11" i="1"/>
  <c r="AJ24" i="1"/>
  <c r="AJ25" i="1"/>
  <c r="AJ26" i="1"/>
  <c r="BR8" i="1" l="1"/>
  <c r="AJ23" i="1"/>
  <c r="AI32" i="1" l="1"/>
  <c r="AJ22" i="1"/>
  <c r="AJ21" i="1"/>
  <c r="BQ17" i="1"/>
  <c r="BR6" i="1"/>
  <c r="BR7" i="1"/>
  <c r="AI23" i="1" l="1"/>
  <c r="BR23" i="1" s="1"/>
  <c r="AI24" i="1"/>
  <c r="BR24" i="1" s="1"/>
  <c r="AI25" i="1"/>
  <c r="BR25" i="1" s="1"/>
  <c r="AI26" i="1"/>
  <c r="BR26" i="1" s="1"/>
  <c r="AI27" i="1"/>
  <c r="BR27" i="1" s="1"/>
  <c r="AI28" i="1"/>
  <c r="BR28" i="1" s="1"/>
  <c r="AI29" i="1"/>
  <c r="BR29" i="1" s="1"/>
  <c r="AI30" i="1"/>
  <c r="AI31" i="1"/>
  <c r="BQ8" i="1"/>
  <c r="BQ9" i="1"/>
  <c r="BQ10" i="1"/>
  <c r="BQ11" i="1"/>
  <c r="BQ12" i="1"/>
  <c r="BQ13" i="1"/>
  <c r="BQ14" i="1"/>
  <c r="BQ15" i="1"/>
  <c r="BQ16" i="1"/>
  <c r="BP17" i="1" l="1"/>
  <c r="AI22" i="1"/>
  <c r="BR22" i="1" s="1"/>
  <c r="AI21" i="1"/>
  <c r="BR21" i="1" s="1"/>
  <c r="AH32" i="1"/>
  <c r="BQ32" i="1" s="1"/>
  <c r="BQ6" i="1"/>
  <c r="BQ7" i="1"/>
  <c r="AH29" i="1" l="1"/>
  <c r="BQ29" i="1" s="1"/>
  <c r="AH30" i="1"/>
  <c r="BQ30" i="1" s="1"/>
  <c r="AH31" i="1"/>
  <c r="BQ31" i="1" s="1"/>
  <c r="BP14" i="1"/>
  <c r="BP15" i="1"/>
  <c r="BP16" i="1"/>
  <c r="AH26" i="1" l="1"/>
  <c r="BQ26" i="1" s="1"/>
  <c r="AH27" i="1"/>
  <c r="BQ27" i="1" s="1"/>
  <c r="AH28" i="1"/>
  <c r="BQ28" i="1" s="1"/>
  <c r="BP11" i="1"/>
  <c r="BP12" i="1"/>
  <c r="BP13" i="1"/>
  <c r="AH23" i="1" l="1"/>
  <c r="BQ23" i="1" s="1"/>
  <c r="AH24" i="1"/>
  <c r="BQ24" i="1" s="1"/>
  <c r="AH25" i="1"/>
  <c r="BQ25" i="1" s="1"/>
  <c r="BP8" i="1"/>
  <c r="BP9" i="1"/>
  <c r="BP10" i="1"/>
  <c r="AH22" i="1" l="1"/>
  <c r="BQ22" i="1" s="1"/>
  <c r="BP7" i="1"/>
  <c r="BO17" i="1" l="1"/>
  <c r="BP6" i="1"/>
  <c r="AH21" i="1"/>
  <c r="BQ21" i="1" s="1"/>
  <c r="AG32" i="1"/>
  <c r="BP32" i="1" l="1"/>
  <c r="AG29" i="1"/>
  <c r="AG30" i="1"/>
  <c r="AG31" i="1"/>
  <c r="BO14" i="1"/>
  <c r="BO15" i="1"/>
  <c r="BO16" i="1"/>
  <c r="BP30" i="1" l="1"/>
  <c r="BP29" i="1"/>
  <c r="BP31" i="1"/>
  <c r="AG26" i="1"/>
  <c r="AG27" i="1"/>
  <c r="AG28" i="1"/>
  <c r="BO11" i="1"/>
  <c r="BO12" i="1"/>
  <c r="BO13" i="1"/>
  <c r="BP28" i="1" l="1"/>
  <c r="BP27" i="1"/>
  <c r="BP26" i="1"/>
  <c r="AG23" i="1"/>
  <c r="BP23" i="1" s="1"/>
  <c r="AG24" i="1"/>
  <c r="BP24" i="1" s="1"/>
  <c r="AG25" i="1"/>
  <c r="BP25" i="1" s="1"/>
  <c r="BO8" i="1"/>
  <c r="BO9" i="1"/>
  <c r="BO10" i="1"/>
  <c r="BO6" i="1" l="1"/>
  <c r="BO7" i="1"/>
  <c r="BN17" i="1"/>
  <c r="AG22" i="1"/>
  <c r="BP22" i="1" s="1"/>
  <c r="AG21" i="1"/>
  <c r="BP21" i="1" s="1"/>
  <c r="AF32" i="1"/>
  <c r="BO32" i="1" s="1"/>
  <c r="AF30" i="1" l="1"/>
  <c r="BO30" i="1" s="1"/>
  <c r="AF31" i="1"/>
  <c r="BO31" i="1" s="1"/>
  <c r="BN15" i="1"/>
  <c r="BN16" i="1"/>
  <c r="BN10" i="1" l="1"/>
  <c r="BN11" i="1"/>
  <c r="BN12" i="1"/>
  <c r="BN13" i="1"/>
  <c r="BN14" i="1"/>
  <c r="AF25" i="1"/>
  <c r="BO25" i="1" s="1"/>
  <c r="AF26" i="1"/>
  <c r="BO26" i="1" s="1"/>
  <c r="AF27" i="1"/>
  <c r="BO27" i="1" s="1"/>
  <c r="AF28" i="1"/>
  <c r="BO28" i="1" s="1"/>
  <c r="AF29" i="1"/>
  <c r="BO29" i="1" s="1"/>
  <c r="AF24" i="1" l="1"/>
  <c r="BO24" i="1" s="1"/>
  <c r="BN9" i="1"/>
  <c r="BN7" i="1" l="1"/>
  <c r="BN8" i="1"/>
  <c r="BN6" i="1"/>
  <c r="AF22" i="1"/>
  <c r="BO22" i="1" s="1"/>
  <c r="AF23" i="1"/>
  <c r="BO23" i="1" s="1"/>
  <c r="AF21" i="1"/>
  <c r="BO21" i="1" s="1"/>
  <c r="BM13" i="1" l="1"/>
  <c r="BM14" i="1"/>
  <c r="BM15" i="1"/>
  <c r="BM16" i="1"/>
  <c r="BM17" i="1"/>
  <c r="BM12" i="1"/>
  <c r="AE27" i="1"/>
  <c r="BN27" i="1" s="1"/>
  <c r="AE28" i="1"/>
  <c r="BN28" i="1" s="1"/>
  <c r="AE29" i="1"/>
  <c r="BN29" i="1" s="1"/>
  <c r="AE30" i="1"/>
  <c r="BN30" i="1" s="1"/>
  <c r="AE31" i="1"/>
  <c r="BN31" i="1" s="1"/>
  <c r="AE32" i="1"/>
  <c r="BN32" i="1" s="1"/>
  <c r="BM9" i="1" l="1"/>
  <c r="BM10" i="1"/>
  <c r="BM11" i="1"/>
  <c r="AE24" i="1"/>
  <c r="BN24" i="1" s="1"/>
  <c r="AE25" i="1"/>
  <c r="BN25" i="1" s="1"/>
  <c r="AE26" i="1"/>
  <c r="BN26" i="1" s="1"/>
  <c r="AD32" i="1" l="1"/>
  <c r="BM32" i="1" s="1"/>
  <c r="AD31" i="1"/>
  <c r="BM31" i="1" s="1"/>
  <c r="AD30" i="1"/>
  <c r="BM30" i="1" s="1"/>
  <c r="AE23" i="1"/>
  <c r="BN23" i="1" s="1"/>
  <c r="AE22" i="1"/>
  <c r="BN22" i="1" s="1"/>
  <c r="AE21" i="1"/>
  <c r="BN21" i="1" s="1"/>
  <c r="AD29" i="1"/>
  <c r="BM29" i="1" s="1"/>
  <c r="AD28" i="1"/>
  <c r="BM28" i="1" s="1"/>
  <c r="BK6" i="1"/>
  <c r="BL16" i="1"/>
  <c r="BL17" i="1"/>
  <c r="BM8" i="1"/>
  <c r="BM7" i="1"/>
  <c r="BM6" i="1"/>
  <c r="BL14" i="1"/>
  <c r="BL15" i="1"/>
  <c r="AD26" i="1" l="1"/>
  <c r="BM26" i="1" s="1"/>
  <c r="AD27" i="1"/>
  <c r="BM27" i="1" s="1"/>
  <c r="BL11" i="1"/>
  <c r="BL12" i="1"/>
  <c r="BL13" i="1"/>
  <c r="AD25" i="1" l="1"/>
  <c r="BM25" i="1" s="1"/>
  <c r="BL10" i="1"/>
  <c r="AD24" i="1" l="1"/>
  <c r="BM24" i="1" s="1"/>
  <c r="AD23" i="1"/>
  <c r="BM23" i="1" s="1"/>
  <c r="AD22" i="1"/>
  <c r="BM22" i="1" s="1"/>
  <c r="BL8" i="1"/>
  <c r="BL9" i="1"/>
  <c r="BL7" i="1" l="1"/>
  <c r="BK17" i="1"/>
  <c r="BK16" i="1"/>
  <c r="BL6" i="1"/>
  <c r="BG6" i="1"/>
  <c r="AD21" i="1"/>
  <c r="BM21" i="1" s="1"/>
  <c r="AB31" i="1"/>
  <c r="AB32" i="1"/>
  <c r="AC32" i="1"/>
  <c r="BL32" i="1" s="1"/>
  <c r="AC31" i="1"/>
  <c r="BL31" i="1" s="1"/>
  <c r="AC30" i="1"/>
  <c r="BL30" i="1" s="1"/>
  <c r="Z22" i="1"/>
  <c r="V23" i="1"/>
  <c r="V24" i="1"/>
  <c r="V25" i="1"/>
  <c r="V26" i="1"/>
  <c r="V27" i="1"/>
  <c r="V28" i="1"/>
  <c r="V29" i="1"/>
  <c r="V30" i="1"/>
  <c r="V31" i="1"/>
  <c r="V32" i="1"/>
  <c r="V21" i="1"/>
  <c r="V22" i="1"/>
  <c r="BK14" i="1"/>
  <c r="BK15" i="1"/>
  <c r="AC29" i="1"/>
  <c r="BL29" i="1" s="1"/>
  <c r="AC26" i="1"/>
  <c r="BL26" i="1" s="1"/>
  <c r="AC27" i="1"/>
  <c r="BL27" i="1" s="1"/>
  <c r="AC28" i="1"/>
  <c r="BL28" i="1" s="1"/>
  <c r="BK11" i="1"/>
  <c r="BK12" i="1"/>
  <c r="BK13" i="1"/>
  <c r="AC24" i="1"/>
  <c r="BL24" i="1" s="1"/>
  <c r="AB24" i="1"/>
  <c r="AC25" i="1"/>
  <c r="BL25" i="1" s="1"/>
  <c r="AB25" i="1"/>
  <c r="AC23" i="1"/>
  <c r="BL23" i="1" s="1"/>
  <c r="AC22" i="1"/>
  <c r="BK9" i="1"/>
  <c r="BK10" i="1"/>
  <c r="AB23" i="1"/>
  <c r="BK8" i="1"/>
  <c r="AB22" i="1"/>
  <c r="BK7" i="1"/>
  <c r="AB21" i="1"/>
  <c r="AC21" i="1"/>
  <c r="BJ16" i="1"/>
  <c r="BJ17" i="1"/>
  <c r="BJ14" i="1"/>
  <c r="BJ15" i="1"/>
  <c r="AB28" i="1"/>
  <c r="AA28" i="1"/>
  <c r="AB29" i="1"/>
  <c r="AA29" i="1"/>
  <c r="AB30" i="1"/>
  <c r="AA30" i="1"/>
  <c r="BJ13" i="1"/>
  <c r="AB27" i="1"/>
  <c r="AA27" i="1"/>
  <c r="AA26" i="1"/>
  <c r="AB26" i="1"/>
  <c r="BJ12" i="1"/>
  <c r="BJ11" i="1"/>
  <c r="BJ9" i="1"/>
  <c r="BJ10" i="1"/>
  <c r="AA24" i="1"/>
  <c r="AA25" i="1"/>
  <c r="BJ8" i="1"/>
  <c r="BH6" i="1"/>
  <c r="BI6" i="1"/>
  <c r="BJ6" i="1"/>
  <c r="BG7" i="1"/>
  <c r="BH7" i="1"/>
  <c r="BI7" i="1"/>
  <c r="BJ7" i="1"/>
  <c r="BG8" i="1"/>
  <c r="BH8" i="1"/>
  <c r="BI8" i="1"/>
  <c r="BG9" i="1"/>
  <c r="BH9" i="1"/>
  <c r="BI9" i="1"/>
  <c r="BG10" i="1"/>
  <c r="BH10" i="1"/>
  <c r="BI10" i="1"/>
  <c r="BG11" i="1"/>
  <c r="BH11" i="1"/>
  <c r="BI11" i="1"/>
  <c r="BG12" i="1"/>
  <c r="BH12" i="1"/>
  <c r="BI12" i="1"/>
  <c r="BG13" i="1"/>
  <c r="BH13" i="1"/>
  <c r="BI13" i="1"/>
  <c r="BG14" i="1"/>
  <c r="BH14" i="1"/>
  <c r="BI14" i="1"/>
  <c r="BG15" i="1"/>
  <c r="BH15" i="1"/>
  <c r="BI15" i="1"/>
  <c r="BG16" i="1"/>
  <c r="BH16" i="1"/>
  <c r="BI16" i="1"/>
  <c r="BG17" i="1"/>
  <c r="BH17" i="1"/>
  <c r="BI17" i="1"/>
  <c r="BF7" i="1"/>
  <c r="BF8" i="1"/>
  <c r="BF9" i="1"/>
  <c r="BF10" i="1"/>
  <c r="BF11" i="1"/>
  <c r="BF12" i="1"/>
  <c r="BF13" i="1"/>
  <c r="BF14" i="1"/>
  <c r="BF15" i="1"/>
  <c r="BF16" i="1"/>
  <c r="BF17" i="1"/>
  <c r="BF6" i="1"/>
  <c r="AA21" i="1"/>
  <c r="Z21" i="1"/>
  <c r="AA22" i="1"/>
  <c r="AA23" i="1"/>
  <c r="Z23" i="1"/>
  <c r="Z24" i="1"/>
  <c r="Z25" i="1"/>
  <c r="Z26" i="1"/>
  <c r="Z27" i="1"/>
  <c r="Z28" i="1"/>
  <c r="Z29" i="1"/>
  <c r="Z30" i="1"/>
  <c r="AA31" i="1"/>
  <c r="Z31" i="1"/>
  <c r="AA32" i="1"/>
  <c r="Z32" i="1"/>
  <c r="X21" i="1"/>
  <c r="W21" i="1"/>
  <c r="Y21" i="1"/>
  <c r="X22" i="1"/>
  <c r="Y22" i="1"/>
  <c r="X23" i="1"/>
  <c r="W23" i="1"/>
  <c r="Y23" i="1"/>
  <c r="X24" i="1"/>
  <c r="Y24" i="1"/>
  <c r="X25" i="1"/>
  <c r="W25" i="1"/>
  <c r="Y25" i="1"/>
  <c r="X26" i="1"/>
  <c r="Y26" i="1"/>
  <c r="X27" i="1"/>
  <c r="W27" i="1"/>
  <c r="Y27" i="1"/>
  <c r="X28" i="1"/>
  <c r="Y28" i="1"/>
  <c r="X29" i="1"/>
  <c r="W29" i="1"/>
  <c r="Y29" i="1"/>
  <c r="X30" i="1"/>
  <c r="Y30" i="1"/>
  <c r="X31" i="1"/>
  <c r="W31" i="1"/>
  <c r="Y31" i="1"/>
  <c r="X32" i="1"/>
  <c r="Y32" i="1"/>
  <c r="W24" i="1"/>
  <c r="W26" i="1"/>
  <c r="W28" i="1"/>
  <c r="W30" i="1"/>
  <c r="W32" i="1"/>
  <c r="W22" i="1"/>
  <c r="J6" i="1"/>
  <c r="AT6" i="1" s="1"/>
  <c r="L6" i="1"/>
  <c r="AM21" i="1"/>
  <c r="AN21" i="1"/>
  <c r="AO21" i="1"/>
  <c r="G6" i="1"/>
  <c r="G31" i="1" s="1"/>
  <c r="AP21" i="1"/>
  <c r="AQ21" i="1"/>
  <c r="AR21" i="1"/>
  <c r="AS21" i="1"/>
  <c r="N6" i="1"/>
  <c r="O6" i="1"/>
  <c r="O21" i="1" s="1"/>
  <c r="P6" i="1"/>
  <c r="BA6" i="1"/>
  <c r="BA21" i="1" s="1"/>
  <c r="BB6" i="1"/>
  <c r="BB21" i="1" s="1"/>
  <c r="BC6" i="1"/>
  <c r="BC21" i="1" s="1"/>
  <c r="BD6" i="1"/>
  <c r="BD21" i="1" s="1"/>
  <c r="BE6" i="1"/>
  <c r="BE21" i="1" s="1"/>
  <c r="U32" i="1"/>
  <c r="BE17" i="1"/>
  <c r="U31" i="1"/>
  <c r="BE16" i="1"/>
  <c r="U30" i="1"/>
  <c r="BE15" i="1"/>
  <c r="U29" i="1"/>
  <c r="BE14" i="1"/>
  <c r="U28" i="1"/>
  <c r="BE13" i="1"/>
  <c r="U26" i="1"/>
  <c r="U27" i="1"/>
  <c r="BE12" i="1"/>
  <c r="BE11" i="1"/>
  <c r="U24" i="1"/>
  <c r="U25" i="1"/>
  <c r="BE9" i="1"/>
  <c r="BE10" i="1"/>
  <c r="U22" i="1"/>
  <c r="U23" i="1"/>
  <c r="BE7" i="1"/>
  <c r="BE8" i="1"/>
  <c r="U21" i="1"/>
  <c r="T32" i="1"/>
  <c r="BD17" i="1"/>
  <c r="T31" i="1"/>
  <c r="BD16" i="1"/>
  <c r="T30" i="1"/>
  <c r="BD15" i="1"/>
  <c r="T29" i="1"/>
  <c r="S29" i="1"/>
  <c r="BD14" i="1"/>
  <c r="T28" i="1"/>
  <c r="BD28" i="1" s="1"/>
  <c r="BD13" i="1"/>
  <c r="T27" i="1"/>
  <c r="S27" i="1"/>
  <c r="BD12" i="1"/>
  <c r="T26" i="1"/>
  <c r="BD11" i="1"/>
  <c r="T24" i="1"/>
  <c r="T25" i="1"/>
  <c r="BD9" i="1"/>
  <c r="BD10" i="1"/>
  <c r="T22" i="1"/>
  <c r="T23" i="1"/>
  <c r="S23" i="1"/>
  <c r="BD7" i="1"/>
  <c r="BD8" i="1"/>
  <c r="T21" i="1"/>
  <c r="S32" i="1"/>
  <c r="BC17" i="1"/>
  <c r="S31" i="1"/>
  <c r="BC16" i="1"/>
  <c r="S30" i="1"/>
  <c r="BC15" i="1"/>
  <c r="BC14" i="1"/>
  <c r="S28" i="1"/>
  <c r="BC13" i="1"/>
  <c r="BC12" i="1"/>
  <c r="S26" i="1"/>
  <c r="BC11" i="1"/>
  <c r="S25" i="1"/>
  <c r="BC25" i="1" s="1"/>
  <c r="BC10" i="1"/>
  <c r="S24" i="1"/>
  <c r="BC9" i="1"/>
  <c r="BC8" i="1"/>
  <c r="S22" i="1"/>
  <c r="BC7" i="1"/>
  <c r="S21" i="1"/>
  <c r="R31" i="1"/>
  <c r="R32" i="1"/>
  <c r="BB17" i="1"/>
  <c r="BB16" i="1"/>
  <c r="R30" i="1"/>
  <c r="BB30" i="1" s="1"/>
  <c r="BB15" i="1"/>
  <c r="R29" i="1"/>
  <c r="Q29" i="1"/>
  <c r="BB14" i="1"/>
  <c r="R28" i="1"/>
  <c r="BB13" i="1"/>
  <c r="R27" i="1"/>
  <c r="Q27" i="1"/>
  <c r="BB12" i="1"/>
  <c r="R26" i="1"/>
  <c r="BB26" i="1" s="1"/>
  <c r="BB11" i="1"/>
  <c r="BB10" i="1"/>
  <c r="BB9" i="1"/>
  <c r="R25" i="1"/>
  <c r="Q25" i="1"/>
  <c r="R24" i="1"/>
  <c r="BB8" i="1"/>
  <c r="R23" i="1"/>
  <c r="R22" i="1"/>
  <c r="BB7" i="1"/>
  <c r="R21" i="1"/>
  <c r="Q32" i="1"/>
  <c r="BA17" i="1"/>
  <c r="Q31" i="1"/>
  <c r="BA16" i="1"/>
  <c r="Q30" i="1"/>
  <c r="BA15" i="1"/>
  <c r="BA14" i="1"/>
  <c r="Q28" i="1"/>
  <c r="BA28" i="1" s="1"/>
  <c r="BA13" i="1"/>
  <c r="BA12" i="1"/>
  <c r="Q26" i="1"/>
  <c r="BA11" i="1"/>
  <c r="BA10" i="1"/>
  <c r="BA9" i="1"/>
  <c r="Q24" i="1"/>
  <c r="Q21" i="1"/>
  <c r="Q22" i="1"/>
  <c r="Q23" i="1"/>
  <c r="BA7" i="1"/>
  <c r="BA8" i="1"/>
  <c r="P11" i="1"/>
  <c r="AZ11" i="1" s="1"/>
  <c r="P12" i="1"/>
  <c r="AZ12" i="1" s="1"/>
  <c r="P13" i="1"/>
  <c r="AZ13" i="1" s="1"/>
  <c r="P14" i="1"/>
  <c r="AZ14" i="1" s="1"/>
  <c r="P15" i="1"/>
  <c r="AZ15" i="1" s="1"/>
  <c r="P16" i="1"/>
  <c r="AZ16" i="1" s="1"/>
  <c r="P17" i="1"/>
  <c r="P7" i="1"/>
  <c r="AZ7" i="1" s="1"/>
  <c r="P8" i="1"/>
  <c r="AZ8" i="1" s="1"/>
  <c r="P9" i="1"/>
  <c r="P10" i="1"/>
  <c r="P39" i="1"/>
  <c r="Q39" i="1"/>
  <c r="AM24" i="1"/>
  <c r="AN24" i="1"/>
  <c r="AO24" i="1"/>
  <c r="AP24" i="1"/>
  <c r="AQ24" i="1"/>
  <c r="AR24" i="1"/>
  <c r="AM25" i="1"/>
  <c r="AN25" i="1"/>
  <c r="AO25" i="1"/>
  <c r="AP25" i="1"/>
  <c r="AQ25" i="1"/>
  <c r="AR25" i="1"/>
  <c r="AM26" i="1"/>
  <c r="AN26" i="1"/>
  <c r="AO26" i="1"/>
  <c r="AP26" i="1"/>
  <c r="H11" i="1"/>
  <c r="H27" i="1" s="1"/>
  <c r="AQ26" i="1"/>
  <c r="AR26" i="1"/>
  <c r="AM22" i="1"/>
  <c r="AN22" i="1"/>
  <c r="AO22" i="1"/>
  <c r="AP22" i="1"/>
  <c r="AQ22" i="1"/>
  <c r="AR22" i="1"/>
  <c r="AM23" i="1"/>
  <c r="AN23" i="1"/>
  <c r="AO23" i="1"/>
  <c r="AP23" i="1"/>
  <c r="AQ23" i="1"/>
  <c r="AR23" i="1"/>
  <c r="O7" i="1"/>
  <c r="O8" i="1"/>
  <c r="O9" i="1"/>
  <c r="AY9" i="1" s="1"/>
  <c r="O10" i="1"/>
  <c r="N7" i="1"/>
  <c r="N8" i="1"/>
  <c r="N9" i="1"/>
  <c r="N10" i="1"/>
  <c r="O11" i="1"/>
  <c r="AY11" i="1" s="1"/>
  <c r="O12" i="1"/>
  <c r="O13" i="1"/>
  <c r="O14" i="1"/>
  <c r="O15" i="1"/>
  <c r="AY15" i="1" s="1"/>
  <c r="O16" i="1"/>
  <c r="O17" i="1"/>
  <c r="N11" i="1"/>
  <c r="N12" i="1"/>
  <c r="AX12" i="1" s="1"/>
  <c r="N13" i="1"/>
  <c r="N14" i="1"/>
  <c r="N15" i="1"/>
  <c r="N16" i="1"/>
  <c r="N17" i="1"/>
  <c r="AW17" i="1" s="1"/>
  <c r="J7" i="1"/>
  <c r="AT7" i="1" s="1"/>
  <c r="J8" i="1"/>
  <c r="J9" i="1"/>
  <c r="AT9" i="1" s="1"/>
  <c r="J11" i="1"/>
  <c r="AT11" i="1" s="1"/>
  <c r="J12" i="1"/>
  <c r="AT12" i="1" s="1"/>
  <c r="J13" i="1"/>
  <c r="AT13" i="1" s="1"/>
  <c r="J14" i="1"/>
  <c r="AT14" i="1" s="1"/>
  <c r="J15" i="1"/>
  <c r="AS15" i="1" s="1"/>
  <c r="J16" i="1"/>
  <c r="I16" i="1"/>
  <c r="I31" i="1" s="1"/>
  <c r="J17" i="1"/>
  <c r="H17" i="1"/>
  <c r="AR17" i="1" s="1"/>
  <c r="F32" i="1"/>
  <c r="E32" i="1"/>
  <c r="D32" i="1"/>
  <c r="C32" i="1"/>
  <c r="B32" i="1"/>
  <c r="M7" i="1"/>
  <c r="M8" i="1"/>
  <c r="M9" i="1"/>
  <c r="M10" i="1"/>
  <c r="AV10" i="1" s="1"/>
  <c r="M12" i="1"/>
  <c r="M13" i="1"/>
  <c r="AV13" i="1" s="1"/>
  <c r="M14" i="1"/>
  <c r="AW14" i="1" s="1"/>
  <c r="M15" i="1"/>
  <c r="M16" i="1"/>
  <c r="L7" i="1"/>
  <c r="L8" i="1"/>
  <c r="L11" i="1"/>
  <c r="AV11" i="1" s="1"/>
  <c r="L14" i="1"/>
  <c r="AU14" i="1" s="1"/>
  <c r="L16" i="1"/>
  <c r="K8" i="1"/>
  <c r="K9" i="1"/>
  <c r="AU9" i="1" s="1"/>
  <c r="K15" i="1"/>
  <c r="K16" i="1"/>
  <c r="F31" i="1"/>
  <c r="E31" i="1"/>
  <c r="D31" i="1"/>
  <c r="C31" i="1"/>
  <c r="B31" i="1"/>
  <c r="I30" i="1"/>
  <c r="F30" i="1"/>
  <c r="E30" i="1"/>
  <c r="D30" i="1"/>
  <c r="C30" i="1"/>
  <c r="B30" i="1"/>
  <c r="I29" i="1"/>
  <c r="F29" i="1"/>
  <c r="E29" i="1"/>
  <c r="D29" i="1"/>
  <c r="AN29" i="1" s="1"/>
  <c r="C29" i="1"/>
  <c r="B29" i="1"/>
  <c r="I28" i="1"/>
  <c r="F28" i="1"/>
  <c r="E28" i="1"/>
  <c r="D28" i="1"/>
  <c r="C28" i="1"/>
  <c r="B28" i="1"/>
  <c r="I27" i="1"/>
  <c r="F27" i="1"/>
  <c r="E27" i="1"/>
  <c r="D27" i="1"/>
  <c r="C27" i="1"/>
  <c r="B27" i="1"/>
  <c r="I26" i="1"/>
  <c r="G26" i="1"/>
  <c r="F26" i="1"/>
  <c r="E26" i="1"/>
  <c r="D26" i="1"/>
  <c r="C26" i="1"/>
  <c r="B26" i="1"/>
  <c r="I25" i="1"/>
  <c r="H25" i="1"/>
  <c r="F25" i="1"/>
  <c r="E25" i="1"/>
  <c r="D25" i="1"/>
  <c r="C25" i="1"/>
  <c r="B25" i="1"/>
  <c r="I24" i="1"/>
  <c r="H24" i="1"/>
  <c r="F24" i="1"/>
  <c r="E24" i="1"/>
  <c r="D24" i="1"/>
  <c r="C24" i="1"/>
  <c r="B24" i="1"/>
  <c r="L24" i="1"/>
  <c r="I23" i="1"/>
  <c r="H23" i="1"/>
  <c r="F23" i="1"/>
  <c r="E23" i="1"/>
  <c r="D23" i="1"/>
  <c r="C23" i="1"/>
  <c r="B23" i="1"/>
  <c r="I22" i="1"/>
  <c r="H22" i="1"/>
  <c r="F22" i="1"/>
  <c r="E22" i="1"/>
  <c r="D22" i="1"/>
  <c r="C22" i="1"/>
  <c r="B22" i="1"/>
  <c r="K22" i="1"/>
  <c r="I21" i="1"/>
  <c r="H21" i="1"/>
  <c r="F21" i="1"/>
  <c r="E21" i="1"/>
  <c r="D21" i="1"/>
  <c r="C21" i="1"/>
  <c r="B21" i="1"/>
  <c r="M21" i="1"/>
  <c r="L21" i="1"/>
  <c r="K21" i="1"/>
  <c r="AP17" i="1"/>
  <c r="AO17" i="1"/>
  <c r="AN17" i="1"/>
  <c r="AM17" i="1"/>
  <c r="AV17" i="1"/>
  <c r="AU17" i="1"/>
  <c r="AR16" i="1"/>
  <c r="AQ16" i="1"/>
  <c r="AP16" i="1"/>
  <c r="AO16" i="1"/>
  <c r="AN16" i="1"/>
  <c r="AM16" i="1"/>
  <c r="AR15" i="1"/>
  <c r="AQ15" i="1"/>
  <c r="AP15" i="1"/>
  <c r="AO15" i="1"/>
  <c r="AN15" i="1"/>
  <c r="AM15" i="1"/>
  <c r="AV15" i="1"/>
  <c r="AU13" i="1"/>
  <c r="AU12" i="1"/>
  <c r="AU10" i="1"/>
  <c r="AT10" i="1"/>
  <c r="AV9" i="1"/>
  <c r="AN30" i="1" l="1"/>
  <c r="AX17" i="1"/>
  <c r="K27" i="1"/>
  <c r="AT16" i="1"/>
  <c r="BA26" i="1"/>
  <c r="BB24" i="1"/>
  <c r="BB31" i="1"/>
  <c r="BC30" i="1"/>
  <c r="AU6" i="1"/>
  <c r="AU21" i="1" s="1"/>
  <c r="BE29" i="1"/>
  <c r="BH30" i="1"/>
  <c r="AX13" i="1"/>
  <c r="BB27" i="1"/>
  <c r="BA29" i="1"/>
  <c r="BD29" i="1"/>
  <c r="BD31" i="1"/>
  <c r="P22" i="1"/>
  <c r="AV6" i="1"/>
  <c r="AV21" i="1" s="1"/>
  <c r="AX7" i="1"/>
  <c r="BB22" i="1"/>
  <c r="BE30" i="1"/>
  <c r="BG28" i="1"/>
  <c r="AM29" i="1"/>
  <c r="AY14" i="1"/>
  <c r="AX10" i="1"/>
  <c r="BA32" i="1"/>
  <c r="BI25" i="1"/>
  <c r="BK23" i="1"/>
  <c r="J23" i="1"/>
  <c r="AS23" i="1" s="1"/>
  <c r="AW9" i="1"/>
  <c r="AX9" i="1"/>
  <c r="P21" i="1"/>
  <c r="AQ17" i="1"/>
  <c r="AW16" i="1"/>
  <c r="BE24" i="1"/>
  <c r="J32" i="1"/>
  <c r="J25" i="1"/>
  <c r="AS25" i="1" s="1"/>
  <c r="AW13" i="1"/>
  <c r="AU11" i="1"/>
  <c r="AM27" i="1"/>
  <c r="P24" i="1"/>
  <c r="AZ24" i="1" s="1"/>
  <c r="BB25" i="1"/>
  <c r="AX14" i="1"/>
  <c r="BE22" i="1"/>
  <c r="BE26" i="1"/>
  <c r="BK28" i="1"/>
  <c r="AO29" i="1"/>
  <c r="AO30" i="1"/>
  <c r="AV14" i="1"/>
  <c r="AN32" i="1"/>
  <c r="AS16" i="1"/>
  <c r="N31" i="1"/>
  <c r="P32" i="1"/>
  <c r="AZ32" i="1" s="1"/>
  <c r="BB29" i="1"/>
  <c r="AY6" i="1"/>
  <c r="AY21" i="1" s="1"/>
  <c r="J27" i="1"/>
  <c r="AS27" i="1" s="1"/>
  <c r="BF31" i="1"/>
  <c r="BF27" i="1"/>
  <c r="BF23" i="1"/>
  <c r="BI26" i="1"/>
  <c r="BI30" i="1"/>
  <c r="BI29" i="1"/>
  <c r="BK27" i="1"/>
  <c r="O22" i="1"/>
  <c r="AP31" i="1"/>
  <c r="BH32" i="1"/>
  <c r="BA24" i="1"/>
  <c r="BD22" i="1"/>
  <c r="K26" i="1"/>
  <c r="AT8" i="1"/>
  <c r="K25" i="1"/>
  <c r="K29" i="1"/>
  <c r="K23" i="1"/>
  <c r="AV8" i="1"/>
  <c r="AU8" i="1"/>
  <c r="BF22" i="1"/>
  <c r="AW12" i="1"/>
  <c r="AV12" i="1"/>
  <c r="M22" i="1"/>
  <c r="M23" i="1"/>
  <c r="M24" i="1"/>
  <c r="AV24" i="1" s="1"/>
  <c r="AW7" i="1"/>
  <c r="AW15" i="1"/>
  <c r="G28" i="1"/>
  <c r="AP28" i="1" s="1"/>
  <c r="G27" i="1"/>
  <c r="AP27" i="1" s="1"/>
  <c r="G25" i="1"/>
  <c r="G24" i="1"/>
  <c r="G21" i="1"/>
  <c r="G32" i="1"/>
  <c r="G30" i="1"/>
  <c r="AP30" i="1" s="1"/>
  <c r="G23" i="1"/>
  <c r="G22" i="1"/>
  <c r="G29" i="1"/>
  <c r="AP29" i="1" s="1"/>
  <c r="AS17" i="1"/>
  <c r="AT17" i="1"/>
  <c r="N32" i="1"/>
  <c r="O26" i="1"/>
  <c r="AY7" i="1"/>
  <c r="BI28" i="1"/>
  <c r="AU16" i="1"/>
  <c r="AP32" i="1"/>
  <c r="P25" i="1"/>
  <c r="AZ25" i="1" s="1"/>
  <c r="BA27" i="1"/>
  <c r="BC29" i="1"/>
  <c r="BF32" i="1"/>
  <c r="BF24" i="1"/>
  <c r="BJ25" i="1"/>
  <c r="BI27" i="1"/>
  <c r="BJ22" i="1"/>
  <c r="AO32" i="1"/>
  <c r="BC31" i="1"/>
  <c r="M30" i="1"/>
  <c r="P23" i="1"/>
  <c r="AZ23" i="1" s="1"/>
  <c r="AZ9" i="1"/>
  <c r="BA22" i="1"/>
  <c r="BB23" i="1"/>
  <c r="BF30" i="1"/>
  <c r="BJ32" i="1"/>
  <c r="BI24" i="1"/>
  <c r="AZ6" i="1"/>
  <c r="AZ21" i="1" s="1"/>
  <c r="P28" i="1"/>
  <c r="AZ28" i="1" s="1"/>
  <c r="O27" i="1"/>
  <c r="AM30" i="1"/>
  <c r="K28" i="1"/>
  <c r="AM32" i="1"/>
  <c r="AX16" i="1"/>
  <c r="AY12" i="1"/>
  <c r="AW8" i="1"/>
  <c r="BB28" i="1"/>
  <c r="BB32" i="1"/>
  <c r="BC26" i="1"/>
  <c r="BD24" i="1"/>
  <c r="BC27" i="1"/>
  <c r="BD30" i="1"/>
  <c r="BE32" i="1"/>
  <c r="BF28" i="1"/>
  <c r="BG32" i="1"/>
  <c r="BG24" i="1"/>
  <c r="BH26" i="1"/>
  <c r="BJ26" i="1"/>
  <c r="BK31" i="1"/>
  <c r="BJ31" i="1"/>
  <c r="BK21" i="1"/>
  <c r="BK32" i="1"/>
  <c r="BK26" i="1"/>
  <c r="BK24" i="1"/>
  <c r="BL22" i="1"/>
  <c r="AR27" i="1"/>
  <c r="AQ27" i="1"/>
  <c r="AX8" i="1"/>
  <c r="O23" i="1"/>
  <c r="O31" i="1"/>
  <c r="AY8" i="1"/>
  <c r="O29" i="1"/>
  <c r="O28" i="1"/>
  <c r="J28" i="1"/>
  <c r="J21" i="1"/>
  <c r="J29" i="1"/>
  <c r="J31" i="1"/>
  <c r="AS31" i="1" s="1"/>
  <c r="J30" i="1"/>
  <c r="AS30" i="1" s="1"/>
  <c r="J24" i="1"/>
  <c r="AS24" i="1" s="1"/>
  <c r="J22" i="1"/>
  <c r="AT21" i="1"/>
  <c r="J26" i="1"/>
  <c r="AS26" i="1" s="1"/>
  <c r="H30" i="1"/>
  <c r="H29" i="1"/>
  <c r="H26" i="1"/>
  <c r="H31" i="1"/>
  <c r="AQ31" i="1" s="1"/>
  <c r="H28" i="1"/>
  <c r="L22" i="1"/>
  <c r="AU22" i="1" s="1"/>
  <c r="AV7" i="1"/>
  <c r="L23" i="1"/>
  <c r="L25" i="1"/>
  <c r="L30" i="1"/>
  <c r="L26" i="1"/>
  <c r="AU7" i="1"/>
  <c r="L27" i="1"/>
  <c r="AU27" i="1" s="1"/>
  <c r="L29" i="1"/>
  <c r="L32" i="1"/>
  <c r="L28" i="1"/>
  <c r="AW10" i="1"/>
  <c r="M29" i="1"/>
  <c r="AV29" i="1" s="1"/>
  <c r="M25" i="1"/>
  <c r="M27" i="1"/>
  <c r="M31" i="1"/>
  <c r="AW11" i="1"/>
  <c r="AX11" i="1"/>
  <c r="P31" i="1"/>
  <c r="P27" i="1"/>
  <c r="P29" i="1"/>
  <c r="P30" i="1"/>
  <c r="AY10" i="1"/>
  <c r="P26" i="1"/>
  <c r="AZ10" i="1"/>
  <c r="AZ17" i="1"/>
  <c r="AY17" i="1"/>
  <c r="BA30" i="1"/>
  <c r="BD32" i="1"/>
  <c r="BC32" i="1"/>
  <c r="BE23" i="1"/>
  <c r="BD23" i="1"/>
  <c r="BE25" i="1"/>
  <c r="BD25" i="1"/>
  <c r="BE27" i="1"/>
  <c r="BD27" i="1"/>
  <c r="AW6" i="1"/>
  <c r="AW21" i="1" s="1"/>
  <c r="N22" i="1"/>
  <c r="N24" i="1"/>
  <c r="N27" i="1"/>
  <c r="N29" i="1"/>
  <c r="AW29" i="1" s="1"/>
  <c r="N26" i="1"/>
  <c r="N30" i="1"/>
  <c r="AX6" i="1"/>
  <c r="AX21" i="1" s="1"/>
  <c r="N21" i="1"/>
  <c r="N23" i="1"/>
  <c r="N28" i="1"/>
  <c r="BG27" i="1"/>
  <c r="BH27" i="1"/>
  <c r="BI21" i="1"/>
  <c r="BJ21" i="1"/>
  <c r="BH22" i="1"/>
  <c r="AU15" i="1"/>
  <c r="AT15" i="1"/>
  <c r="K30" i="1"/>
  <c r="BJ23" i="1"/>
  <c r="BI23" i="1"/>
  <c r="H32" i="1"/>
  <c r="BG31" i="1"/>
  <c r="BH31" i="1"/>
  <c r="BG23" i="1"/>
  <c r="BH23" i="1"/>
  <c r="AN27" i="1"/>
  <c r="AM28" i="1"/>
  <c r="AM31" i="1"/>
  <c r="O30" i="1"/>
  <c r="BA23" i="1"/>
  <c r="AO27" i="1"/>
  <c r="M28" i="1"/>
  <c r="AN28" i="1"/>
  <c r="AS28" i="1"/>
  <c r="AN31" i="1"/>
  <c r="K32" i="1"/>
  <c r="L31" i="1"/>
  <c r="AV16" i="1"/>
  <c r="I32" i="1"/>
  <c r="AX15" i="1"/>
  <c r="N25" i="1"/>
  <c r="BC24" i="1"/>
  <c r="BC28" i="1"/>
  <c r="BC23" i="1"/>
  <c r="BD26" i="1"/>
  <c r="BF26" i="1"/>
  <c r="BG29" i="1"/>
  <c r="BG25" i="1"/>
  <c r="BG21" i="1"/>
  <c r="K24" i="1"/>
  <c r="M26" i="1"/>
  <c r="AO28" i="1"/>
  <c r="AO31" i="1"/>
  <c r="M32" i="1"/>
  <c r="O24" i="1"/>
  <c r="AY16" i="1"/>
  <c r="AY13" i="1"/>
  <c r="BA31" i="1"/>
  <c r="BA25" i="1"/>
  <c r="BC22" i="1"/>
  <c r="BE28" i="1"/>
  <c r="BE31" i="1"/>
  <c r="BL21" i="1"/>
  <c r="BJ30" i="1"/>
  <c r="BJ24" i="1"/>
  <c r="BK25" i="1"/>
  <c r="BJ29" i="1"/>
  <c r="BI32" i="1"/>
  <c r="BI31" i="1"/>
  <c r="BJ27" i="1"/>
  <c r="BJ28" i="1"/>
  <c r="BK22" i="1"/>
  <c r="BK30" i="1"/>
  <c r="BI22" i="1"/>
  <c r="BK29" i="1"/>
  <c r="BH29" i="1"/>
  <c r="BH28" i="1"/>
  <c r="BH25" i="1"/>
  <c r="BH24" i="1"/>
  <c r="BH21" i="1"/>
  <c r="BG30" i="1"/>
  <c r="BF29" i="1"/>
  <c r="BG26" i="1"/>
  <c r="BF25" i="1"/>
  <c r="BG22" i="1"/>
  <c r="BF21" i="1"/>
  <c r="K31" i="1"/>
  <c r="O25" i="1"/>
  <c r="O32" i="1"/>
  <c r="AU29" i="1" l="1"/>
  <c r="AW31" i="1"/>
  <c r="AR32" i="1"/>
  <c r="AU26" i="1"/>
  <c r="AU25" i="1"/>
  <c r="AY22" i="1"/>
  <c r="AT31" i="1"/>
  <c r="AW23" i="1"/>
  <c r="AZ22" i="1"/>
  <c r="AT23" i="1"/>
  <c r="AT25" i="1"/>
  <c r="AT28" i="1"/>
  <c r="AX31" i="1"/>
  <c r="AT32" i="1"/>
  <c r="AW22" i="1"/>
  <c r="AV25" i="1"/>
  <c r="AY28" i="1"/>
  <c r="AT27" i="1"/>
  <c r="AR31" i="1"/>
  <c r="AQ29" i="1"/>
  <c r="AQ32" i="1"/>
  <c r="AX29" i="1"/>
  <c r="AT26" i="1"/>
  <c r="AV31" i="1"/>
  <c r="AW25" i="1"/>
  <c r="AW32" i="1"/>
  <c r="AV26" i="1"/>
  <c r="AT30" i="1"/>
  <c r="AW28" i="1"/>
  <c r="AW30" i="1"/>
  <c r="AW24" i="1"/>
  <c r="AV27" i="1"/>
  <c r="AU28" i="1"/>
  <c r="AV32" i="1"/>
  <c r="AX24" i="1"/>
  <c r="AY24" i="1"/>
  <c r="AV28" i="1"/>
  <c r="AW27" i="1"/>
  <c r="AZ26" i="1"/>
  <c r="AY26" i="1"/>
  <c r="AY27" i="1"/>
  <c r="AZ27" i="1"/>
  <c r="AX27" i="1"/>
  <c r="AX28" i="1"/>
  <c r="AX23" i="1"/>
  <c r="AY23" i="1"/>
  <c r="AR29" i="1"/>
  <c r="AS22" i="1"/>
  <c r="AT22" i="1"/>
  <c r="AT29" i="1"/>
  <c r="AS29" i="1"/>
  <c r="AT24" i="1"/>
  <c r="AU24" i="1"/>
  <c r="AW26" i="1"/>
  <c r="AY30" i="1"/>
  <c r="AZ30" i="1"/>
  <c r="AU32" i="1"/>
  <c r="AQ28" i="1"/>
  <c r="AR28" i="1"/>
  <c r="AQ30" i="1"/>
  <c r="AR30" i="1"/>
  <c r="AX22" i="1"/>
  <c r="AV22" i="1"/>
  <c r="AS32" i="1"/>
  <c r="AZ31" i="1"/>
  <c r="AY31" i="1"/>
  <c r="AV23" i="1"/>
  <c r="AU23" i="1"/>
  <c r="AX30" i="1"/>
  <c r="AZ29" i="1"/>
  <c r="AY29" i="1"/>
  <c r="AV30" i="1"/>
  <c r="AU30" i="1"/>
  <c r="AX26" i="1"/>
  <c r="AY32" i="1"/>
  <c r="AX32" i="1"/>
  <c r="AY25" i="1"/>
  <c r="AX25" i="1"/>
  <c r="AU31" i="1"/>
</calcChain>
</file>

<file path=xl/sharedStrings.xml><?xml version="1.0" encoding="utf-8"?>
<sst xmlns="http://schemas.openxmlformats.org/spreadsheetml/2006/main" count="151" uniqueCount="82">
  <si>
    <t>1983</t>
  </si>
  <si>
    <t>1984</t>
  </si>
  <si>
    <t>1985</t>
  </si>
  <si>
    <t>1986</t>
  </si>
  <si>
    <t>1987</t>
  </si>
  <si>
    <t>1988</t>
  </si>
  <si>
    <t xml:space="preserve">   1989</t>
  </si>
  <si>
    <t xml:space="preserve">  1990</t>
  </si>
  <si>
    <t xml:space="preserve">  1991</t>
  </si>
  <si>
    <t xml:space="preserve">  1992</t>
  </si>
  <si>
    <t>1993</t>
  </si>
  <si>
    <t>1995</t>
  </si>
  <si>
    <t>85/84</t>
  </si>
  <si>
    <t>86/85</t>
  </si>
  <si>
    <t>87/86</t>
  </si>
  <si>
    <t>88/87</t>
  </si>
  <si>
    <t>89/88</t>
  </si>
  <si>
    <t xml:space="preserve"> 90/89</t>
  </si>
  <si>
    <t xml:space="preserve"> 91/90</t>
  </si>
  <si>
    <t xml:space="preserve"> 92/91</t>
  </si>
  <si>
    <t xml:space="preserve"> 93/92</t>
  </si>
  <si>
    <t xml:space="preserve"> 94/93</t>
  </si>
  <si>
    <t xml:space="preserve"> 95/94</t>
  </si>
  <si>
    <t xml:space="preserve"> 96/95</t>
  </si>
  <si>
    <t>97/96</t>
  </si>
  <si>
    <t>90/89</t>
  </si>
  <si>
    <t>98/97</t>
  </si>
  <si>
    <t>Ocak</t>
  </si>
  <si>
    <t>Şubat</t>
  </si>
  <si>
    <t>Mart</t>
  </si>
  <si>
    <t>Nisan</t>
  </si>
  <si>
    <t>Haziran</t>
  </si>
  <si>
    <t>Temmuz</t>
  </si>
  <si>
    <t>Ağustos</t>
  </si>
  <si>
    <t>Eylül</t>
  </si>
  <si>
    <t>Ekim</t>
  </si>
  <si>
    <t>Mayıs</t>
  </si>
  <si>
    <t>Kasım</t>
  </si>
  <si>
    <t>Aralık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</si>
  <si>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</si>
  <si>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</si>
  <si>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</si>
  <si>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</si>
  <si>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</si>
  <si>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</si>
  <si>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</si>
  <si>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</si>
  <si>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</si>
  <si>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</si>
  <si>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</si>
  <si>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</si>
  <si>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       A y l ı k </t>
  </si>
  <si>
    <t xml:space="preserve">       M o n t h l y</t>
  </si>
  <si>
    <t>K ü m ü l a t i f</t>
  </si>
  <si>
    <t>C u m u l a t i v e</t>
  </si>
  <si>
    <t>99/98</t>
  </si>
  <si>
    <t>00/99</t>
  </si>
  <si>
    <t>01/00</t>
  </si>
  <si>
    <t>02/01</t>
  </si>
  <si>
    <t>03/02</t>
  </si>
  <si>
    <t>Yüzde Değişme</t>
  </si>
  <si>
    <t>05/04</t>
  </si>
  <si>
    <t>(Milyon Dolar)</t>
  </si>
  <si>
    <t>(In Millions of Dollars)</t>
  </si>
  <si>
    <t>Kaynak: TCMB</t>
  </si>
  <si>
    <t xml:space="preserve">      Source: CBRT</t>
  </si>
  <si>
    <t xml:space="preserve">Tablo: V.18- İşçi Gelirleri  </t>
  </si>
  <si>
    <t xml:space="preserve">Table: V.18- Workers' Remittances  </t>
  </si>
  <si>
    <t>06/05</t>
  </si>
  <si>
    <t>07/06</t>
  </si>
  <si>
    <t>08/07</t>
  </si>
  <si>
    <t>09/08</t>
  </si>
  <si>
    <t>10/09</t>
  </si>
  <si>
    <t>11/10</t>
  </si>
  <si>
    <t>Percentage Change</t>
  </si>
  <si>
    <t>12/11</t>
  </si>
  <si>
    <t>13/12</t>
  </si>
  <si>
    <t>14/13</t>
  </si>
  <si>
    <t>15/14</t>
  </si>
  <si>
    <t>16/15</t>
  </si>
  <si>
    <t>17/16</t>
  </si>
  <si>
    <t>18/17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</si>
</sst>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0.0_)"/>
    <numFmt numFmtId="165" formatCode="0_)"/>
    <numFmt numFmtId="166" formatCode="#,##0.0_);\(#,##0.0\)"/>
    <numFmt numFmtId="167" formatCode="0.0"/>
    <numFmt numFmtId="168" formatCode="_-* #,##0\ _F_B_-;\-* #,##0\ _F_B_-;_-* &quot;-&quot;\ _F_B_-;_-@_-"/>
    <numFmt numFmtId="169" formatCode="_-* #,##0.00\ _F_B_-;\-* #,##0.00\ _F_B_-;_-* &quot;-&quot;??\ _F_B_-;_-@_-"/>
    <numFmt numFmtId="170" formatCode="_-* #,##0\ &quot;FB&quot;_-;\-* #,##0\ &quot;FB&quot;_-;_-* &quot;-&quot;\ &quot;FB&quot;_-;_-@_-"/>
    <numFmt numFmtId="171" formatCode="_-* #,##0.00\ &quot;FB&quot;_-;\-* #,##0.00\ &quot;FB&quot;_-;_-* &quot;-&quot;??\ &quot;FB&quot;_-;_-@_-"/>
  </numFmts>
  <fonts count="22" x14ac:knownFonts="1">
    <font>
      <sz val="14"/>
      <name val="Tms Rmn"/>
      <charset val="162"/>
    </font>
    <font>
      <b/>
      <sz val="12"/>
      <name val="Arial TUR"/>
      <family val="2"/>
      <charset val="162"/>
    </font>
    <font>
      <sz val="12"/>
      <name val="Arial TUR"/>
      <family val="2"/>
      <charset val="162"/>
    </font>
    <font>
      <sz val="10"/>
      <name val="Arial Tur"/>
      <family val="2"/>
      <charset val="162"/>
    </font>
    <font>
      <sz val="9"/>
      <name val="Arial Tur"/>
      <family val="2"/>
      <charset val="162"/>
    </font>
    <font>
      <b/>
      <sz val="16"/>
      <name val="Arial"/>
      <family val="2"/>
      <charset val="162"/>
    </font>
    <font>
      <sz val="10"/>
      <name val="Arial"/>
      <family val="2"/>
      <charset val="162"/>
    </font>
    <font>
      <sz val="10"/>
      <name val="Courier"/>
      <family val="1"/>
      <charset val="162"/>
    </font>
    <font>
      <sz val="10"/>
      <name val="Arial"/>
      <family val="2"/>
      <charset val="162"/>
    </font>
    <font>
      <sz val="8"/>
      <name val="Arial"/>
      <family val="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1"/>
      <color indexed="63"/>
      <name val="Calibri"/>
      <family val="2"/>
      <charset val="162"/>
    </font>
    <font>
      <b/>
      <sz val="18"/>
      <color indexed="56"/>
      <name val="Cambria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</fills>
  <borders count="20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</borders>
  <cellStyleXfs count="37">
    <xf numFmtId="0" fontId="0" fillId="0" borderId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2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4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8" fillId="17" borderId="5" applyNumberFormat="0" applyAlignment="0" applyProtection="0"/>
    <xf numFmtId="0" fontId="16" fillId="8" borderId="6" applyNumberFormat="0" applyAlignment="0" applyProtection="0"/>
    <xf numFmtId="168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0" fontId="8" fillId="0" borderId="0"/>
    <xf numFmtId="165" fontId="7" fillId="0" borderId="0"/>
    <xf numFmtId="0" fontId="6" fillId="6" borderId="7" applyNumberFormat="0" applyFont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</cellStyleXfs>
  <cellXfs count="77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fill"/>
    </xf>
    <xf numFmtId="0" fontId="1" fillId="0" borderId="9" xfId="0" applyFont="1" applyBorder="1"/>
    <xf numFmtId="0" fontId="2" fillId="0" borderId="10" xfId="0" applyFont="1" applyBorder="1"/>
    <xf numFmtId="0" fontId="1" fillId="0" borderId="10" xfId="0" applyFont="1" applyBorder="1"/>
    <xf numFmtId="0" fontId="1" fillId="0" borderId="11" xfId="0" applyFont="1" applyBorder="1"/>
    <xf numFmtId="0" fontId="2" fillId="0" borderId="0" xfId="0" applyFont="1" applyAlignment="1">
      <alignment horizontal="right"/>
    </xf>
    <xf numFmtId="0" fontId="1" fillId="0" borderId="12" xfId="0" applyFont="1" applyBorder="1"/>
    <xf numFmtId="0" fontId="1" fillId="0" borderId="10" xfId="0" applyFont="1" applyBorder="1" applyAlignment="1">
      <alignment horizontal="right"/>
    </xf>
    <xf numFmtId="0" fontId="1" fillId="0" borderId="13" xfId="0" applyFont="1" applyBorder="1"/>
    <xf numFmtId="164" fontId="2" fillId="0" borderId="0" xfId="0" applyNumberFormat="1" applyFont="1" applyAlignment="1" applyProtection="1">
      <alignment horizontal="right"/>
    </xf>
    <xf numFmtId="164" fontId="1" fillId="0" borderId="0" xfId="0" applyNumberFormat="1" applyFont="1" applyProtection="1"/>
    <xf numFmtId="164" fontId="2" fillId="0" borderId="0" xfId="0" applyNumberFormat="1" applyFont="1" applyProtection="1"/>
    <xf numFmtId="164" fontId="1" fillId="0" borderId="10" xfId="0" applyNumberFormat="1" applyFont="1" applyBorder="1" applyProtection="1"/>
    <xf numFmtId="165" fontId="1" fillId="0" borderId="10" xfId="0" applyNumberFormat="1" applyFont="1" applyBorder="1" applyProtection="1"/>
    <xf numFmtId="37" fontId="1" fillId="0" borderId="10" xfId="0" applyNumberFormat="1" applyFont="1" applyBorder="1" applyProtection="1"/>
    <xf numFmtId="0" fontId="1" fillId="0" borderId="0" xfId="0" quotePrefix="1" applyFont="1" applyAlignment="1">
      <alignment horizontal="left"/>
    </xf>
    <xf numFmtId="0" fontId="2" fillId="0" borderId="0" xfId="0" quotePrefix="1" applyFont="1" applyAlignment="1">
      <alignment horizontal="left"/>
    </xf>
    <xf numFmtId="0" fontId="2" fillId="0" borderId="0" xfId="0" quotePrefix="1" applyFont="1" applyAlignment="1">
      <alignment horizontal="right"/>
    </xf>
    <xf numFmtId="0" fontId="1" fillId="0" borderId="9" xfId="0" quotePrefix="1" applyFont="1" applyBorder="1" applyAlignment="1">
      <alignment horizontal="left"/>
    </xf>
    <xf numFmtId="164" fontId="2" fillId="0" borderId="0" xfId="0" quotePrefix="1" applyNumberFormat="1" applyFont="1" applyAlignment="1" applyProtection="1">
      <alignment horizontal="left"/>
    </xf>
    <xf numFmtId="0" fontId="1" fillId="0" borderId="10" xfId="0" quotePrefix="1" applyFont="1" applyBorder="1" applyAlignment="1">
      <alignment horizontal="left"/>
    </xf>
    <xf numFmtId="0" fontId="1" fillId="0" borderId="14" xfId="0" applyFont="1" applyBorder="1"/>
    <xf numFmtId="0" fontId="1" fillId="0" borderId="0" xfId="0" applyFont="1" applyBorder="1"/>
    <xf numFmtId="0" fontId="1" fillId="0" borderId="15" xfId="0" applyFont="1" applyBorder="1" applyAlignment="1">
      <alignment horizontal="right"/>
    </xf>
    <xf numFmtId="0" fontId="2" fillId="0" borderId="14" xfId="0" applyFont="1" applyBorder="1"/>
    <xf numFmtId="0" fontId="3" fillId="0" borderId="0" xfId="0" quotePrefix="1" applyFont="1" applyAlignment="1">
      <alignment horizontal="right"/>
    </xf>
    <xf numFmtId="167" fontId="2" fillId="0" borderId="0" xfId="0" applyNumberFormat="1" applyFont="1" applyBorder="1" applyProtection="1"/>
    <xf numFmtId="1" fontId="2" fillId="0" borderId="10" xfId="0" applyNumberFormat="1" applyFont="1" applyBorder="1" applyProtection="1"/>
    <xf numFmtId="1" fontId="2" fillId="0" borderId="0" xfId="0" applyNumberFormat="1" applyFont="1" applyBorder="1"/>
    <xf numFmtId="1" fontId="2" fillId="0" borderId="10" xfId="0" applyNumberFormat="1" applyFont="1" applyBorder="1"/>
    <xf numFmtId="167" fontId="2" fillId="0" borderId="10" xfId="0" applyNumberFormat="1" applyFont="1" applyBorder="1" applyProtection="1"/>
    <xf numFmtId="3" fontId="2" fillId="0" borderId="10" xfId="0" applyNumberFormat="1" applyFont="1" applyBorder="1" applyAlignment="1" applyProtection="1"/>
    <xf numFmtId="0" fontId="1" fillId="0" borderId="0" xfId="0" quotePrefix="1" applyFont="1" applyAlignment="1">
      <alignment horizontal="right"/>
    </xf>
    <xf numFmtId="0" fontId="2" fillId="0" borderId="0" xfId="0" applyFont="1" applyBorder="1"/>
    <xf numFmtId="0" fontId="1" fillId="0" borderId="10" xfId="0" applyFont="1" applyBorder="1" applyAlignment="1"/>
    <xf numFmtId="0" fontId="1" fillId="0" borderId="15" xfId="0" quotePrefix="1" applyFont="1" applyBorder="1" applyAlignment="1">
      <alignment horizontal="right"/>
    </xf>
    <xf numFmtId="3" fontId="2" fillId="0" borderId="10" xfId="0" applyNumberFormat="1" applyFont="1" applyBorder="1" applyAlignment="1" applyProtection="1">
      <alignment horizontal="right"/>
    </xf>
    <xf numFmtId="49" fontId="1" fillId="0" borderId="15" xfId="0" applyNumberFormat="1" applyFont="1" applyBorder="1" applyAlignment="1">
      <alignment horizontal="right"/>
    </xf>
    <xf numFmtId="0" fontId="4" fillId="0" borderId="0" xfId="0" quotePrefix="1" applyFont="1" applyAlignment="1">
      <alignment horizontal="left"/>
    </xf>
    <xf numFmtId="0" fontId="0" fillId="0" borderId="0" xfId="0" applyAlignment="1"/>
    <xf numFmtId="0" fontId="4" fillId="0" borderId="0" xfId="0" applyFont="1"/>
    <xf numFmtId="0" fontId="0" fillId="0" borderId="0" xfId="0" applyAlignment="1">
      <alignment vertical="top"/>
    </xf>
    <xf numFmtId="0" fontId="0" fillId="0" borderId="0" xfId="0" applyAlignment="1">
      <alignment horizontal="right"/>
    </xf>
    <xf numFmtId="1" fontId="2" fillId="0" borderId="10" xfId="0" applyNumberFormat="1" applyFont="1" applyBorder="1" applyAlignment="1">
      <alignment horizontal="right"/>
    </xf>
    <xf numFmtId="0" fontId="5" fillId="0" borderId="0" xfId="0" quotePrefix="1" applyFont="1" applyAlignment="1">
      <alignment horizontal="left"/>
    </xf>
    <xf numFmtId="0" fontId="5" fillId="0" borderId="0" xfId="0" applyFont="1"/>
    <xf numFmtId="0" fontId="5" fillId="0" borderId="0" xfId="0" quotePrefix="1" applyFont="1" applyAlignment="1">
      <alignment horizontal="right"/>
    </xf>
    <xf numFmtId="1" fontId="2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 applyProtection="1"/>
    <xf numFmtId="0" fontId="0" fillId="0" borderId="0" xfId="0" applyBorder="1" applyAlignment="1">
      <alignment horizontal="right"/>
    </xf>
    <xf numFmtId="0" fontId="4" fillId="0" borderId="0" xfId="0" applyFont="1" applyBorder="1"/>
    <xf numFmtId="3" fontId="2" fillId="0" borderId="0" xfId="0" applyNumberFormat="1" applyFont="1" applyBorder="1" applyAlignment="1" applyProtection="1">
      <alignment horizontal="right"/>
    </xf>
    <xf numFmtId="165" fontId="9" fillId="0" borderId="0" xfId="33" applyFont="1" applyFill="1" applyBorder="1" applyAlignment="1">
      <alignment horizontal="right"/>
    </xf>
    <xf numFmtId="0" fontId="1" fillId="0" borderId="15" xfId="0" applyFont="1" applyBorder="1" applyAlignment="1"/>
    <xf numFmtId="164" fontId="1" fillId="0" borderId="0" xfId="0" applyNumberFormat="1" applyFont="1" applyBorder="1" applyProtection="1"/>
    <xf numFmtId="165" fontId="1" fillId="0" borderId="0" xfId="0" applyNumberFormat="1" applyFont="1" applyBorder="1" applyProtection="1"/>
    <xf numFmtId="1" fontId="2" fillId="0" borderId="0" xfId="0" applyNumberFormat="1" applyFont="1" applyBorder="1" applyProtection="1"/>
    <xf numFmtId="164" fontId="2" fillId="0" borderId="0" xfId="0" applyNumberFormat="1" applyFont="1" applyBorder="1" applyProtection="1"/>
    <xf numFmtId="0" fontId="1" fillId="0" borderId="16" xfId="0" applyFont="1" applyBorder="1"/>
    <xf numFmtId="0" fontId="1" fillId="0" borderId="17" xfId="0" applyFont="1" applyBorder="1"/>
    <xf numFmtId="0" fontId="2" fillId="0" borderId="17" xfId="0" applyFont="1" applyBorder="1"/>
    <xf numFmtId="0" fontId="1" fillId="0" borderId="17" xfId="0" quotePrefix="1" applyFont="1" applyBorder="1" applyAlignment="1">
      <alignment horizontal="left"/>
    </xf>
    <xf numFmtId="164" fontId="1" fillId="0" borderId="17" xfId="0" applyNumberFormat="1" applyFont="1" applyBorder="1" applyProtection="1"/>
    <xf numFmtId="0" fontId="1" fillId="0" borderId="18" xfId="0" applyFont="1" applyBorder="1"/>
    <xf numFmtId="37" fontId="1" fillId="0" borderId="0" xfId="0" applyNumberFormat="1" applyFont="1" applyBorder="1" applyProtection="1"/>
    <xf numFmtId="3" fontId="2" fillId="0" borderId="19" xfId="0" applyNumberFormat="1" applyFont="1" applyBorder="1" applyAlignment="1" applyProtection="1">
      <alignment horizontal="right"/>
    </xf>
    <xf numFmtId="164" fontId="2" fillId="0" borderId="10" xfId="0" applyNumberFormat="1" applyFont="1" applyBorder="1" applyProtection="1"/>
    <xf numFmtId="166" fontId="1" fillId="0" borderId="0" xfId="0" applyNumberFormat="1" applyFont="1" applyBorder="1" applyProtection="1"/>
    <xf numFmtId="0" fontId="1" fillId="0" borderId="15" xfId="0" quotePrefix="1" applyFont="1" applyBorder="1" applyAlignment="1"/>
    <xf numFmtId="3" fontId="2" fillId="0" borderId="14" xfId="0" applyNumberFormat="1" applyFont="1" applyBorder="1" applyAlignment="1" applyProtection="1">
      <alignment horizontal="right"/>
    </xf>
    <xf numFmtId="167" fontId="2" fillId="0" borderId="14" xfId="0" applyNumberFormat="1" applyFont="1" applyBorder="1" applyProtection="1"/>
    <xf numFmtId="1" fontId="2" fillId="0" borderId="0" xfId="0" applyNumberFormat="1" applyFont="1" applyFill="1" applyBorder="1" applyAlignment="1">
      <alignment horizontal="right"/>
    </xf>
    <xf numFmtId="0" fontId="1" fillId="0" borderId="14" xfId="0" quotePrefix="1" applyFont="1" applyBorder="1" applyAlignment="1">
      <alignment horizontal="center" wrapText="1"/>
    </xf>
    <xf numFmtId="0" fontId="1" fillId="0" borderId="17" xfId="0" quotePrefix="1" applyFont="1" applyBorder="1" applyAlignment="1">
      <alignment horizontal="center" wrapText="1"/>
    </xf>
  </cellXfs>
  <cellStyles count="37">
    <cellStyle name="%20 - Vurgu1 2" xfId="1"/>
    <cellStyle name="%20 - Vurgu2 2" xfId="2"/>
    <cellStyle name="%20 - Vurgu3 2" xfId="3"/>
    <cellStyle name="%20 - Vurgu4 2" xfId="4"/>
    <cellStyle name="%20 - Vurgu5 2" xfId="5"/>
    <cellStyle name="%20 - Vurgu6 2" xfId="6"/>
    <cellStyle name="%40 - Vurgu1 2" xfId="7"/>
    <cellStyle name="%40 - Vurgu2 2" xfId="8"/>
    <cellStyle name="%40 - Vurgu3 2" xfId="9"/>
    <cellStyle name="%40 - Vurgu4 2" xfId="10"/>
    <cellStyle name="%40 - Vurgu5 2" xfId="11"/>
    <cellStyle name="%40 - Vurgu6 2" xfId="12"/>
    <cellStyle name="%60 - Vurgu1 2" xfId="13"/>
    <cellStyle name="%60 - Vurgu2 2" xfId="14"/>
    <cellStyle name="%60 - Vurgu3 2" xfId="15"/>
    <cellStyle name="%60 - Vurgu4 2" xfId="16"/>
    <cellStyle name="%60 - Vurgu5 2" xfId="17"/>
    <cellStyle name="%60 - Vurgu6 2" xfId="18"/>
    <cellStyle name="Açıklama Metni 2" xfId="19"/>
    <cellStyle name="Ana Başlık 2" xfId="20"/>
    <cellStyle name="Bağlı Hücre 2" xfId="21"/>
    <cellStyle name="Başlık 1 2" xfId="22"/>
    <cellStyle name="Başlık 2 2" xfId="23"/>
    <cellStyle name="Başlık 3 2" xfId="24"/>
    <cellStyle name="Başlık 4 2" xfId="25"/>
    <cellStyle name="Çıkış 2" xfId="26"/>
    <cellStyle name="Giriş 2" xfId="27"/>
    <cellStyle name="Milliers [0]_Y1 post" xfId="28"/>
    <cellStyle name="Milliers_Y1 post" xfId="29"/>
    <cellStyle name="Monétaire [0]_Y1 post" xfId="30"/>
    <cellStyle name="Monétaire_Y1 post" xfId="31"/>
    <cellStyle name="Normal" xfId="0" builtinId="0"/>
    <cellStyle name="Normal 2 2" xfId="32"/>
    <cellStyle name="Normal_MANDETAY2002" xfId="33"/>
    <cellStyle name="Not 2" xfId="34"/>
    <cellStyle name="Toplam 2" xfId="35"/>
    <cellStyle name="Uyarı Metni 2" xfId="3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CQ39"/>
  <sheetViews>
    <sheetView showGridLines="0" tabSelected="1" view="pageBreakPreview" zoomScale="90" zoomScaleNormal="73" zoomScaleSheetLayoutView="90" workbookViewId="0">
      <selection activeCell="BX19" sqref="BX19"/>
    </sheetView>
  </sheetViews>
  <sheetFormatPr defaultColWidth="8.88671875" defaultRowHeight="15" x14ac:dyDescent="0.2"/>
  <cols>
    <col min="1" max="1" width="10.88671875" style="2" customWidth="1"/>
    <col min="2" max="2" width="10.77734375" style="2" hidden="1" customWidth="1"/>
    <col min="3" max="3" width="9.77734375" style="2" hidden="1" customWidth="1"/>
    <col min="4" max="4" width="10.77734375" style="2" hidden="1" customWidth="1"/>
    <col min="5" max="7" width="9.77734375" style="2" hidden="1" customWidth="1"/>
    <col min="8" max="16" width="6.33203125" style="2" hidden="1" customWidth="1"/>
    <col min="17" max="17" width="8.33203125" style="2" hidden="1" customWidth="1"/>
    <col min="18" max="18" width="8.88671875" style="2" hidden="1" customWidth="1"/>
    <col min="19" max="19" width="14.6640625" style="2" hidden="1" customWidth="1"/>
    <col min="20" max="20" width="10.88671875" style="2" hidden="1" customWidth="1"/>
    <col min="21" max="22" width="10.109375" style="2" hidden="1" customWidth="1"/>
    <col min="23" max="23" width="10.5546875" style="2" hidden="1" customWidth="1"/>
    <col min="24" max="24" width="9.44140625" style="2" hidden="1" customWidth="1"/>
    <col min="25" max="28" width="5.44140625" style="2" bestFit="1" customWidth="1"/>
    <col min="29" max="29" width="5" style="2" bestFit="1" customWidth="1"/>
    <col min="30" max="30" width="5.44140625" style="2" bestFit="1" customWidth="1"/>
    <col min="31" max="32" width="5" style="2" bestFit="1" customWidth="1"/>
    <col min="33" max="37" width="5" style="2" customWidth="1"/>
    <col min="38" max="38" width="2.21875" style="36" customWidth="1"/>
    <col min="39" max="42" width="5.5546875" style="2" hidden="1" customWidth="1"/>
    <col min="43" max="43" width="6" style="2" hidden="1" customWidth="1"/>
    <col min="44" max="46" width="5.5546875" style="2" hidden="1" customWidth="1"/>
    <col min="47" max="53" width="5.77734375" style="2" hidden="1" customWidth="1"/>
    <col min="54" max="54" width="8.44140625" style="2" hidden="1" customWidth="1"/>
    <col min="55" max="55" width="13.21875" style="2" hidden="1" customWidth="1"/>
    <col min="56" max="56" width="13" style="2" hidden="1" customWidth="1"/>
    <col min="57" max="57" width="9.77734375" style="2" hidden="1" customWidth="1"/>
    <col min="58" max="58" width="1.109375" style="2" hidden="1" customWidth="1"/>
    <col min="59" max="59" width="9.77734375" style="2" hidden="1" customWidth="1"/>
    <col min="60" max="68" width="5.44140625" style="2" bestFit="1" customWidth="1"/>
    <col min="69" max="71" width="5.44140625" style="2" customWidth="1"/>
    <col min="72" max="72" width="1.21875" style="2" customWidth="1"/>
    <col min="73" max="73" width="16.88671875" style="2" customWidth="1"/>
    <col min="74" max="78" width="9.77734375" style="2" customWidth="1"/>
    <col min="79" max="80" width="0" style="2" hidden="1" customWidth="1"/>
    <col min="81" max="82" width="9.77734375" style="2" customWidth="1"/>
    <col min="83" max="83" width="10.77734375" style="2" customWidth="1"/>
    <col min="84" max="87" width="9.77734375" style="2" customWidth="1"/>
    <col min="88" max="89" width="0" style="2" hidden="1" customWidth="1"/>
    <col min="90" max="90" width="11.77734375" style="2" customWidth="1"/>
    <col min="91" max="16384" width="8.88671875" style="2"/>
  </cols>
  <sheetData>
    <row r="1" spans="1:95" ht="25.5" customHeight="1" x14ac:dyDescent="0.3">
      <c r="A1" s="47" t="s">
        <v>66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25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49" t="s">
        <v>62</v>
      </c>
      <c r="BZ1" s="19"/>
    </row>
    <row r="2" spans="1:95" ht="20.25" x14ac:dyDescent="0.3">
      <c r="A2" s="48" t="s">
        <v>67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5"/>
      <c r="O2" s="1"/>
      <c r="P2" s="25"/>
      <c r="Q2" s="25"/>
      <c r="R2" s="25"/>
      <c r="S2" s="1"/>
      <c r="T2" s="1"/>
      <c r="U2" s="1"/>
      <c r="V2" s="1"/>
      <c r="W2" s="1"/>
      <c r="X2" s="1"/>
      <c r="Y2" s="1"/>
      <c r="Z2" s="1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25"/>
      <c r="AZ2" s="25"/>
      <c r="BA2" s="25"/>
      <c r="BB2" s="1"/>
      <c r="BC2" s="1"/>
      <c r="BD2" s="1"/>
      <c r="BE2" s="1"/>
      <c r="BF2" s="1"/>
      <c r="BG2" s="1"/>
      <c r="BH2" s="1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1"/>
      <c r="BU2" s="49" t="s">
        <v>63</v>
      </c>
    </row>
    <row r="3" spans="1:95" ht="17.100000000000001" customHeight="1" x14ac:dyDescent="0.25">
      <c r="A3" s="61"/>
      <c r="B3" s="62"/>
      <c r="C3" s="62"/>
      <c r="D3" s="62"/>
      <c r="E3" s="62"/>
      <c r="F3" s="62"/>
      <c r="G3" s="63"/>
      <c r="H3" s="63"/>
      <c r="I3" s="64"/>
      <c r="J3" s="62"/>
      <c r="K3" s="62"/>
      <c r="L3" s="63"/>
      <c r="M3" s="63"/>
      <c r="N3" s="63"/>
      <c r="O3" s="62"/>
      <c r="P3" s="63"/>
      <c r="Q3" s="63"/>
      <c r="R3" s="63"/>
      <c r="S3" s="63"/>
      <c r="T3" s="63"/>
      <c r="U3" s="63"/>
      <c r="V3" s="63"/>
      <c r="W3" s="63"/>
      <c r="X3" s="63"/>
      <c r="Y3" s="76" t="s">
        <v>51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62"/>
      <c r="AR3" s="62"/>
      <c r="AS3" s="62"/>
      <c r="AT3" s="62"/>
      <c r="AU3" s="62"/>
      <c r="AV3" s="63"/>
      <c r="AW3" s="63"/>
      <c r="AX3" s="62"/>
      <c r="AY3" s="63"/>
      <c r="AZ3" s="63"/>
      <c r="BA3" s="63"/>
      <c r="BB3" s="76" t="s">
        <v>60</v>
      </c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62"/>
      <c r="BU3" s="66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</row>
    <row r="4" spans="1:95" ht="17.100000000000001" customHeight="1" x14ac:dyDescent="0.25">
      <c r="A4" s="4"/>
      <c r="B4" s="25"/>
      <c r="C4" s="25"/>
      <c r="D4" s="25"/>
      <c r="E4" s="25"/>
      <c r="F4" s="25"/>
      <c r="G4" s="36"/>
      <c r="H4" s="5"/>
      <c r="I4" s="23"/>
      <c r="J4" s="6"/>
      <c r="K4" s="24"/>
      <c r="L4" s="27"/>
      <c r="M4" s="27"/>
      <c r="N4" s="27"/>
      <c r="O4" s="6"/>
      <c r="P4" s="27"/>
      <c r="Q4" s="27"/>
      <c r="R4" s="36"/>
      <c r="S4" s="36"/>
      <c r="T4" s="36"/>
      <c r="U4" s="36"/>
      <c r="V4" s="36"/>
      <c r="W4" s="36"/>
      <c r="X4" s="36"/>
      <c r="Y4" s="75" t="s">
        <v>52</v>
      </c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25"/>
      <c r="AR4" s="25"/>
      <c r="AS4" s="25"/>
      <c r="AT4" s="25"/>
      <c r="AU4" s="25"/>
      <c r="AV4" s="36"/>
      <c r="AW4" s="36"/>
      <c r="AX4" s="25"/>
      <c r="AY4" s="36"/>
      <c r="AZ4" s="36"/>
      <c r="BA4" s="36"/>
      <c r="BB4" s="75" t="s">
        <v>74</v>
      </c>
      <c r="BC4" s="75"/>
      <c r="BD4" s="75"/>
      <c r="BE4" s="75"/>
      <c r="BF4" s="75"/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/>
      <c r="BR4" s="75"/>
      <c r="BS4" s="75"/>
      <c r="BT4" s="25"/>
      <c r="BU4" s="7"/>
      <c r="CG4" s="20"/>
      <c r="CM4" s="19"/>
    </row>
    <row r="5" spans="1:95" ht="17.100000000000001" customHeight="1" x14ac:dyDescent="0.25">
      <c r="A5" s="9"/>
      <c r="B5" s="10" t="s">
        <v>0</v>
      </c>
      <c r="C5" s="10" t="s">
        <v>1</v>
      </c>
      <c r="D5" s="10" t="s">
        <v>2</v>
      </c>
      <c r="E5" s="10" t="s">
        <v>3</v>
      </c>
      <c r="F5" s="10" t="s">
        <v>4</v>
      </c>
      <c r="G5" s="10" t="s">
        <v>5</v>
      </c>
      <c r="H5" s="10" t="s">
        <v>6</v>
      </c>
      <c r="I5" s="10" t="s">
        <v>7</v>
      </c>
      <c r="J5" s="10" t="s">
        <v>8</v>
      </c>
      <c r="K5" s="10" t="s">
        <v>9</v>
      </c>
      <c r="L5" s="10">
        <v>1993</v>
      </c>
      <c r="M5" s="6">
        <v>1994</v>
      </c>
      <c r="N5" s="10" t="s">
        <v>11</v>
      </c>
      <c r="O5" s="10">
        <v>1996</v>
      </c>
      <c r="P5" s="10">
        <v>1997</v>
      </c>
      <c r="Q5" s="10">
        <v>1998</v>
      </c>
      <c r="R5" s="37">
        <v>1999</v>
      </c>
      <c r="S5" s="10">
        <v>2000</v>
      </c>
      <c r="T5" s="26">
        <v>2001</v>
      </c>
      <c r="U5" s="26">
        <v>2002</v>
      </c>
      <c r="V5" s="26">
        <v>2003</v>
      </c>
      <c r="W5" s="26">
        <v>2004</v>
      </c>
      <c r="X5" s="26">
        <v>2005</v>
      </c>
      <c r="Y5" s="26">
        <v>2006</v>
      </c>
      <c r="Z5" s="26">
        <v>2007</v>
      </c>
      <c r="AA5" s="26">
        <v>2008</v>
      </c>
      <c r="AB5" s="26">
        <v>2009</v>
      </c>
      <c r="AC5" s="26">
        <v>2010</v>
      </c>
      <c r="AD5" s="26">
        <v>2011</v>
      </c>
      <c r="AE5" s="26">
        <v>2012</v>
      </c>
      <c r="AF5" s="26">
        <v>2013</v>
      </c>
      <c r="AG5" s="26">
        <v>2014</v>
      </c>
      <c r="AH5" s="26">
        <v>2015</v>
      </c>
      <c r="AI5" s="26">
        <v>2016</v>
      </c>
      <c r="AJ5" s="26">
        <v>2017</v>
      </c>
      <c r="AK5" s="26">
        <v>2018</v>
      </c>
      <c r="AL5" s="71"/>
      <c r="AM5" s="26" t="s">
        <v>12</v>
      </c>
      <c r="AN5" s="26" t="s">
        <v>13</v>
      </c>
      <c r="AO5" s="26" t="s">
        <v>14</v>
      </c>
      <c r="AP5" s="26" t="s">
        <v>15</v>
      </c>
      <c r="AQ5" s="26" t="s">
        <v>16</v>
      </c>
      <c r="AR5" s="26" t="s">
        <v>17</v>
      </c>
      <c r="AS5" s="26" t="s">
        <v>18</v>
      </c>
      <c r="AT5" s="26" t="s">
        <v>19</v>
      </c>
      <c r="AU5" s="26" t="s">
        <v>20</v>
      </c>
      <c r="AV5" s="26" t="s">
        <v>21</v>
      </c>
      <c r="AW5" s="26" t="s">
        <v>22</v>
      </c>
      <c r="AX5" s="26" t="s">
        <v>23</v>
      </c>
      <c r="AY5" s="26" t="s">
        <v>24</v>
      </c>
      <c r="AZ5" s="26" t="s">
        <v>26</v>
      </c>
      <c r="BA5" s="26" t="s">
        <v>55</v>
      </c>
      <c r="BB5" s="26" t="s">
        <v>56</v>
      </c>
      <c r="BC5" s="26" t="s">
        <v>57</v>
      </c>
      <c r="BD5" s="38" t="s">
        <v>58</v>
      </c>
      <c r="BE5" s="38" t="s">
        <v>59</v>
      </c>
      <c r="BF5" s="40" t="s">
        <v>61</v>
      </c>
      <c r="BG5" s="40" t="s">
        <v>68</v>
      </c>
      <c r="BH5" s="40" t="s">
        <v>69</v>
      </c>
      <c r="BI5" s="40" t="s">
        <v>70</v>
      </c>
      <c r="BJ5" s="40" t="s">
        <v>71</v>
      </c>
      <c r="BK5" s="40" t="s">
        <v>72</v>
      </c>
      <c r="BL5" s="40" t="s">
        <v>73</v>
      </c>
      <c r="BM5" s="40" t="s">
        <v>75</v>
      </c>
      <c r="BN5" s="40" t="s">
        <v>76</v>
      </c>
      <c r="BO5" s="40" t="s">
        <v>77</v>
      </c>
      <c r="BP5" s="40" t="s">
        <v>78</v>
      </c>
      <c r="BQ5" s="40" t="s">
        <v>79</v>
      </c>
      <c r="BR5" s="40" t="s">
        <v>80</v>
      </c>
      <c r="BS5" s="40" t="s">
        <v>81</v>
      </c>
      <c r="BT5" s="24"/>
      <c r="BU5" s="11"/>
      <c r="CA5" s="8"/>
      <c r="CB5" s="8"/>
      <c r="CC5" s="8"/>
      <c r="CD5" s="8"/>
      <c r="CE5" s="8"/>
      <c r="CF5" s="8"/>
      <c r="CJ5" s="8"/>
      <c r="CK5" s="8"/>
      <c r="CL5" s="8"/>
      <c r="CM5" s="8"/>
      <c r="CN5" s="8"/>
      <c r="CO5" s="8"/>
      <c r="CP5" s="8"/>
      <c r="CQ5" s="12"/>
    </row>
    <row r="6" spans="1:95" ht="17.100000000000001" customHeight="1" x14ac:dyDescent="0.25">
      <c r="A6" s="4" t="s">
        <v>27</v>
      </c>
      <c r="B6" s="57">
        <v>121.197</v>
      </c>
      <c r="C6" s="57">
        <v>83.427999999999997</v>
      </c>
      <c r="D6" s="57">
        <v>151.9</v>
      </c>
      <c r="E6" s="57">
        <v>97.6</v>
      </c>
      <c r="F6" s="58">
        <v>115.2</v>
      </c>
      <c r="G6" s="58">
        <f>12+84</f>
        <v>96</v>
      </c>
      <c r="H6" s="59">
        <v>190</v>
      </c>
      <c r="I6" s="59">
        <v>187</v>
      </c>
      <c r="J6" s="59">
        <f>215+7</f>
        <v>222</v>
      </c>
      <c r="K6" s="59">
        <v>207</v>
      </c>
      <c r="L6" s="31">
        <f>216+3</f>
        <v>219</v>
      </c>
      <c r="M6" s="31">
        <v>157</v>
      </c>
      <c r="N6" s="31">
        <f>224+5</f>
        <v>229</v>
      </c>
      <c r="O6" s="31">
        <f>409+18</f>
        <v>427</v>
      </c>
      <c r="P6" s="31">
        <f>269+2</f>
        <v>271</v>
      </c>
      <c r="Q6" s="31">
        <v>348</v>
      </c>
      <c r="R6" s="31">
        <v>403</v>
      </c>
      <c r="S6" s="50">
        <v>414</v>
      </c>
      <c r="T6" s="31">
        <v>411</v>
      </c>
      <c r="U6" s="50">
        <v>164</v>
      </c>
      <c r="V6" s="50">
        <v>52</v>
      </c>
      <c r="W6" s="50">
        <v>81</v>
      </c>
      <c r="X6" s="50">
        <v>60</v>
      </c>
      <c r="Y6" s="50">
        <v>77</v>
      </c>
      <c r="Z6" s="50">
        <v>71</v>
      </c>
      <c r="AA6" s="50">
        <v>110</v>
      </c>
      <c r="AB6" s="50">
        <v>71</v>
      </c>
      <c r="AC6" s="50">
        <v>70</v>
      </c>
      <c r="AD6" s="50">
        <v>75</v>
      </c>
      <c r="AE6" s="50">
        <v>57</v>
      </c>
      <c r="AF6" s="50">
        <v>74</v>
      </c>
      <c r="AG6" s="50">
        <v>70</v>
      </c>
      <c r="AH6" s="74">
        <v>44</v>
      </c>
      <c r="AI6" s="74">
        <v>51</v>
      </c>
      <c r="AJ6" s="74">
        <v>44</v>
      </c>
      <c r="AK6" s="74">
        <v>24</v>
      </c>
      <c r="AL6" s="31"/>
      <c r="AM6" s="60">
        <v>110</v>
      </c>
      <c r="AN6" s="60">
        <v>110</v>
      </c>
      <c r="AO6" s="60">
        <v>110</v>
      </c>
      <c r="AP6" s="60">
        <v>110</v>
      </c>
      <c r="AQ6" s="60">
        <v>110</v>
      </c>
      <c r="AR6" s="60">
        <v>110</v>
      </c>
      <c r="AS6" s="60">
        <v>110</v>
      </c>
      <c r="AT6" s="60">
        <f t="shared" ref="AT6:AT17" si="0">100*K6/J6-100</f>
        <v>-6.7567567567567579</v>
      </c>
      <c r="AU6" s="29">
        <f t="shared" ref="AU6:AU17" si="1">100*L6/K6-100</f>
        <v>5.7971014492753596</v>
      </c>
      <c r="AV6" s="29">
        <f t="shared" ref="AV6:AV17" si="2">100*M6/L6-100</f>
        <v>-28.310502283105023</v>
      </c>
      <c r="AW6" s="29">
        <f t="shared" ref="AW6:AW17" si="3">100*N6/M6-100</f>
        <v>45.859872611464965</v>
      </c>
      <c r="AX6" s="29">
        <f t="shared" ref="AX6:AX17" si="4">100*O6/N6-100</f>
        <v>86.462882096069876</v>
      </c>
      <c r="AY6" s="29">
        <f t="shared" ref="AY6:AY17" si="5">100*P6/O6-100</f>
        <v>-36.533957845433257</v>
      </c>
      <c r="AZ6" s="29">
        <f t="shared" ref="AZ6:AZ17" si="6">+Q6/P6*100-100</f>
        <v>28.413284132841312</v>
      </c>
      <c r="BA6" s="29">
        <f t="shared" ref="BA6:BA17" si="7">+R6/Q6*100-100</f>
        <v>15.804597701149419</v>
      </c>
      <c r="BB6" s="29">
        <f t="shared" ref="BB6:BB17" si="8">+S6/R6*100-100</f>
        <v>2.7295285359801369</v>
      </c>
      <c r="BC6" s="29">
        <f t="shared" ref="BC6:BC17" si="9">+T6/S6*100-100</f>
        <v>-0.72463768115942173</v>
      </c>
      <c r="BD6" s="29">
        <f t="shared" ref="BD6:BD17" si="10">+U6/T6*100-100</f>
        <v>-60.097323600973233</v>
      </c>
      <c r="BE6" s="29" t="e">
        <f>+#REF!/U6*100-100</f>
        <v>#REF!</v>
      </c>
      <c r="BF6" s="29">
        <f t="shared" ref="BF6:BS7" si="11">+X6/W6*100-100</f>
        <v>-25.925925925925924</v>
      </c>
      <c r="BG6" s="29">
        <f t="shared" si="11"/>
        <v>28.333333333333343</v>
      </c>
      <c r="BH6" s="29">
        <f t="shared" si="11"/>
        <v>-7.7922077922077904</v>
      </c>
      <c r="BI6" s="29">
        <f t="shared" si="11"/>
        <v>54.929577464788736</v>
      </c>
      <c r="BJ6" s="29">
        <f t="shared" si="11"/>
        <v>-35.454545454545453</v>
      </c>
      <c r="BK6" s="29">
        <f t="shared" si="11"/>
        <v>-1.4084507042253449</v>
      </c>
      <c r="BL6" s="29">
        <f t="shared" si="11"/>
        <v>7.1428571428571388</v>
      </c>
      <c r="BM6" s="29">
        <f t="shared" si="11"/>
        <v>-24</v>
      </c>
      <c r="BN6" s="29">
        <f t="shared" si="11"/>
        <v>29.824561403508767</v>
      </c>
      <c r="BO6" s="29">
        <f t="shared" si="11"/>
        <v>-5.4054054054054035</v>
      </c>
      <c r="BP6" s="29">
        <f t="shared" si="11"/>
        <v>-37.142857142857146</v>
      </c>
      <c r="BQ6" s="29">
        <f t="shared" si="11"/>
        <v>15.909090909090921</v>
      </c>
      <c r="BR6" s="29">
        <f t="shared" si="11"/>
        <v>-13.725490196078425</v>
      </c>
      <c r="BS6" s="29">
        <f t="shared" si="11"/>
        <v>-45.45454545454546</v>
      </c>
      <c r="BT6" s="25"/>
      <c r="BU6" s="7" t="s">
        <v>39</v>
      </c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</row>
    <row r="7" spans="1:95" ht="17.100000000000001" customHeight="1" x14ac:dyDescent="0.25">
      <c r="A7" s="21" t="s">
        <v>28</v>
      </c>
      <c r="B7" s="57">
        <v>105.658</v>
      </c>
      <c r="C7" s="57">
        <v>98.498999999999995</v>
      </c>
      <c r="D7" s="57">
        <v>134</v>
      </c>
      <c r="E7" s="57">
        <v>100.3</v>
      </c>
      <c r="F7" s="58">
        <v>98.7</v>
      </c>
      <c r="G7" s="58">
        <v>96</v>
      </c>
      <c r="H7" s="59">
        <v>236</v>
      </c>
      <c r="I7" s="59">
        <v>213</v>
      </c>
      <c r="J7" s="59">
        <f>211+8</f>
        <v>219</v>
      </c>
      <c r="K7" s="59">
        <v>185</v>
      </c>
      <c r="L7" s="31">
        <f>200+8</f>
        <v>208</v>
      </c>
      <c r="M7" s="31">
        <f>155+4</f>
        <v>159</v>
      </c>
      <c r="N7" s="31">
        <f>266+4</f>
        <v>270</v>
      </c>
      <c r="O7" s="31">
        <f>268+3</f>
        <v>271</v>
      </c>
      <c r="P7" s="31">
        <f>212+3</f>
        <v>215</v>
      </c>
      <c r="Q7" s="50">
        <v>285</v>
      </c>
      <c r="R7" s="50">
        <v>401</v>
      </c>
      <c r="S7" s="50">
        <v>322</v>
      </c>
      <c r="T7" s="50">
        <v>302</v>
      </c>
      <c r="U7" s="50">
        <v>168</v>
      </c>
      <c r="V7" s="50">
        <v>43</v>
      </c>
      <c r="W7" s="50">
        <v>54</v>
      </c>
      <c r="X7" s="50">
        <v>58</v>
      </c>
      <c r="Y7" s="50">
        <v>68</v>
      </c>
      <c r="Z7" s="50">
        <v>71</v>
      </c>
      <c r="AA7" s="50">
        <v>110</v>
      </c>
      <c r="AB7" s="50">
        <v>71</v>
      </c>
      <c r="AC7" s="50">
        <v>67</v>
      </c>
      <c r="AD7" s="50">
        <v>70</v>
      </c>
      <c r="AE7" s="50">
        <v>60</v>
      </c>
      <c r="AF7" s="50">
        <v>64</v>
      </c>
      <c r="AG7" s="50">
        <v>59</v>
      </c>
      <c r="AH7" s="74">
        <v>47</v>
      </c>
      <c r="AI7" s="74">
        <v>37</v>
      </c>
      <c r="AJ7" s="74">
        <v>35</v>
      </c>
      <c r="AK7" s="74">
        <v>24</v>
      </c>
      <c r="AL7" s="50"/>
      <c r="AM7" s="60">
        <v>110</v>
      </c>
      <c r="AN7" s="60">
        <v>110</v>
      </c>
      <c r="AO7" s="60">
        <v>110</v>
      </c>
      <c r="AP7" s="60">
        <v>110</v>
      </c>
      <c r="AQ7" s="60">
        <v>110</v>
      </c>
      <c r="AR7" s="60">
        <v>110</v>
      </c>
      <c r="AS7" s="60">
        <v>110</v>
      </c>
      <c r="AT7" s="60">
        <f t="shared" si="0"/>
        <v>-15.525114155251146</v>
      </c>
      <c r="AU7" s="29">
        <f t="shared" si="1"/>
        <v>12.432432432432435</v>
      </c>
      <c r="AV7" s="29">
        <f t="shared" si="2"/>
        <v>-23.557692307692307</v>
      </c>
      <c r="AW7" s="29">
        <f t="shared" si="3"/>
        <v>69.811320754716974</v>
      </c>
      <c r="AX7" s="29">
        <f t="shared" si="4"/>
        <v>0.37037037037036669</v>
      </c>
      <c r="AY7" s="29">
        <f t="shared" si="5"/>
        <v>-20.664206642066418</v>
      </c>
      <c r="AZ7" s="29">
        <f t="shared" si="6"/>
        <v>32.558139534883708</v>
      </c>
      <c r="BA7" s="29">
        <f t="shared" si="7"/>
        <v>40.701754385964904</v>
      </c>
      <c r="BB7" s="29">
        <f t="shared" si="8"/>
        <v>-19.700748129675816</v>
      </c>
      <c r="BC7" s="29">
        <f t="shared" si="9"/>
        <v>-6.2111801242236027</v>
      </c>
      <c r="BD7" s="29">
        <f t="shared" si="10"/>
        <v>-44.370860927152322</v>
      </c>
      <c r="BE7" s="29" t="e">
        <f>+#REF!/U7*100-100</f>
        <v>#REF!</v>
      </c>
      <c r="BF7" s="29">
        <f t="shared" si="11"/>
        <v>7.407407407407419</v>
      </c>
      <c r="BG7" s="29">
        <f t="shared" si="11"/>
        <v>17.241379310344811</v>
      </c>
      <c r="BH7" s="29">
        <f t="shared" si="11"/>
        <v>4.4117647058823621</v>
      </c>
      <c r="BI7" s="29">
        <f t="shared" si="11"/>
        <v>54.929577464788736</v>
      </c>
      <c r="BJ7" s="29">
        <f t="shared" si="11"/>
        <v>-35.454545454545453</v>
      </c>
      <c r="BK7" s="29">
        <f t="shared" si="11"/>
        <v>-5.6338028169014081</v>
      </c>
      <c r="BL7" s="29">
        <f t="shared" si="11"/>
        <v>4.4776119402985017</v>
      </c>
      <c r="BM7" s="29">
        <f t="shared" si="11"/>
        <v>-14.285714285714292</v>
      </c>
      <c r="BN7" s="29">
        <f t="shared" si="11"/>
        <v>6.6666666666666714</v>
      </c>
      <c r="BO7" s="29">
        <f t="shared" si="11"/>
        <v>-7.8125</v>
      </c>
      <c r="BP7" s="29">
        <f t="shared" si="11"/>
        <v>-20.33898305084746</v>
      </c>
      <c r="BQ7" s="29">
        <f t="shared" si="11"/>
        <v>-21.276595744680847</v>
      </c>
      <c r="BR7" s="29">
        <f t="shared" si="11"/>
        <v>-5.4054054054054035</v>
      </c>
      <c r="BS7" s="29">
        <f t="shared" si="11"/>
        <v>-31.428571428571431</v>
      </c>
      <c r="BT7" s="25"/>
      <c r="BU7" s="7" t="s">
        <v>40</v>
      </c>
      <c r="BZ7" s="19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</row>
    <row r="8" spans="1:95" ht="17.100000000000001" customHeight="1" x14ac:dyDescent="0.25">
      <c r="A8" s="4" t="s">
        <v>29</v>
      </c>
      <c r="B8" s="57">
        <v>129.292</v>
      </c>
      <c r="C8" s="57">
        <v>98.709000000000003</v>
      </c>
      <c r="D8" s="57">
        <v>122.8</v>
      </c>
      <c r="E8" s="57">
        <v>91.1</v>
      </c>
      <c r="F8" s="58">
        <v>137.30000000000001</v>
      </c>
      <c r="G8" s="58">
        <v>105</v>
      </c>
      <c r="H8" s="59">
        <v>190</v>
      </c>
      <c r="I8" s="59">
        <v>240</v>
      </c>
      <c r="J8" s="59">
        <f>232+4</f>
        <v>236</v>
      </c>
      <c r="K8" s="59">
        <f>174+4</f>
        <v>178</v>
      </c>
      <c r="L8" s="31">
        <f>222+2</f>
        <v>224</v>
      </c>
      <c r="M8" s="31">
        <f>136+3</f>
        <v>139</v>
      </c>
      <c r="N8" s="31">
        <f>257+5</f>
        <v>262</v>
      </c>
      <c r="O8" s="31">
        <f>193+3</f>
        <v>196</v>
      </c>
      <c r="P8" s="31">
        <f>274+5</f>
        <v>279</v>
      </c>
      <c r="Q8" s="50">
        <v>410</v>
      </c>
      <c r="R8" s="50">
        <v>365</v>
      </c>
      <c r="S8" s="50">
        <v>337</v>
      </c>
      <c r="T8" s="50">
        <v>201</v>
      </c>
      <c r="U8" s="50">
        <v>145</v>
      </c>
      <c r="V8" s="50">
        <v>43</v>
      </c>
      <c r="W8" s="50">
        <v>58</v>
      </c>
      <c r="X8" s="50">
        <v>63</v>
      </c>
      <c r="Y8" s="50">
        <v>83</v>
      </c>
      <c r="Z8" s="50">
        <v>86</v>
      </c>
      <c r="AA8" s="50">
        <v>132</v>
      </c>
      <c r="AB8" s="50">
        <v>80</v>
      </c>
      <c r="AC8" s="50">
        <v>74</v>
      </c>
      <c r="AD8" s="50">
        <v>83</v>
      </c>
      <c r="AE8" s="50">
        <v>66</v>
      </c>
      <c r="AF8" s="50">
        <v>59</v>
      </c>
      <c r="AG8" s="50">
        <v>62</v>
      </c>
      <c r="AH8" s="74">
        <v>66</v>
      </c>
      <c r="AI8" s="74">
        <v>38</v>
      </c>
      <c r="AJ8" s="74">
        <v>37</v>
      </c>
      <c r="AK8" s="74">
        <v>25</v>
      </c>
      <c r="AL8" s="50"/>
      <c r="AM8" s="60">
        <v>132</v>
      </c>
      <c r="AN8" s="60">
        <v>132</v>
      </c>
      <c r="AO8" s="60">
        <v>132</v>
      </c>
      <c r="AP8" s="60">
        <v>132</v>
      </c>
      <c r="AQ8" s="60">
        <v>132</v>
      </c>
      <c r="AR8" s="60">
        <v>132</v>
      </c>
      <c r="AS8" s="60">
        <v>132</v>
      </c>
      <c r="AT8" s="60">
        <f t="shared" si="0"/>
        <v>-24.576271186440678</v>
      </c>
      <c r="AU8" s="29">
        <f t="shared" si="1"/>
        <v>25.842696629213478</v>
      </c>
      <c r="AV8" s="29">
        <f t="shared" si="2"/>
        <v>-37.946428571428569</v>
      </c>
      <c r="AW8" s="29">
        <f t="shared" si="3"/>
        <v>88.489208633093511</v>
      </c>
      <c r="AX8" s="29">
        <f t="shared" si="4"/>
        <v>-25.190839694656489</v>
      </c>
      <c r="AY8" s="29">
        <f t="shared" si="5"/>
        <v>42.34693877551021</v>
      </c>
      <c r="AZ8" s="29">
        <f t="shared" si="6"/>
        <v>46.95340501792117</v>
      </c>
      <c r="BA8" s="29">
        <f t="shared" si="7"/>
        <v>-10.975609756097555</v>
      </c>
      <c r="BB8" s="29">
        <f t="shared" si="8"/>
        <v>-7.6712328767123239</v>
      </c>
      <c r="BC8" s="29">
        <f t="shared" si="9"/>
        <v>-40.35608308605341</v>
      </c>
      <c r="BD8" s="29">
        <f t="shared" si="10"/>
        <v>-27.860696517412933</v>
      </c>
      <c r="BE8" s="29" t="e">
        <f>+#REF!/U8*100-100</f>
        <v>#REF!</v>
      </c>
      <c r="BF8" s="29">
        <f t="shared" ref="BF8:BF17" si="12">+X8/W8*100-100</f>
        <v>8.6206896551724128</v>
      </c>
      <c r="BG8" s="29">
        <f t="shared" ref="BG8:BG17" si="13">+Y8/X8*100-100</f>
        <v>31.746031746031747</v>
      </c>
      <c r="BH8" s="29">
        <f t="shared" ref="BH8:BH17" si="14">+Z8/Y8*100-100</f>
        <v>3.6144578313252964</v>
      </c>
      <c r="BI8" s="29">
        <f t="shared" ref="BI8:BI17" si="15">+AA8/Z8*100-100</f>
        <v>53.488372093023258</v>
      </c>
      <c r="BJ8" s="29">
        <f t="shared" ref="BJ8:BJ17" si="16">+AB8/AA8*100-100</f>
        <v>-39.393939393939391</v>
      </c>
      <c r="BK8" s="29">
        <f t="shared" ref="BK8:BK17" si="17">+AC8/AB8*100-100</f>
        <v>-7.5</v>
      </c>
      <c r="BL8" s="29">
        <f t="shared" ref="BL8:BL17" si="18">+AD8/AC8*100-100</f>
        <v>12.162162162162176</v>
      </c>
      <c r="BM8" s="29">
        <f t="shared" ref="BM8:BM17" si="19">+AE8/AD8*100-100</f>
        <v>-20.481927710843379</v>
      </c>
      <c r="BN8" s="29">
        <f t="shared" ref="BN8:BN17" si="20">+AF8/AE8*100-100</f>
        <v>-10.606060606060609</v>
      </c>
      <c r="BO8" s="29">
        <f t="shared" ref="BO8:BO17" si="21">+AG8/AF8*100-100</f>
        <v>5.0847457627118757</v>
      </c>
      <c r="BP8" s="29">
        <f t="shared" ref="BP8:BP17" si="22">+AH8/AG8*100-100</f>
        <v>6.4516129032257936</v>
      </c>
      <c r="BQ8" s="29">
        <f t="shared" ref="BQ8:BQ17" si="23">+AI8/AH8*100-100</f>
        <v>-42.424242424242422</v>
      </c>
      <c r="BR8" s="29">
        <f t="shared" ref="BR8:BS16" si="24">+AJ8/AI8*100-100</f>
        <v>-2.6315789473684248</v>
      </c>
      <c r="BS8" s="29">
        <f t="shared" si="24"/>
        <v>-32.432432432432435</v>
      </c>
      <c r="BT8" s="25"/>
      <c r="BU8" s="7" t="s">
        <v>41</v>
      </c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</row>
    <row r="9" spans="1:95" ht="17.100000000000001" customHeight="1" x14ac:dyDescent="0.25">
      <c r="A9" s="21" t="s">
        <v>30</v>
      </c>
      <c r="B9" s="57">
        <v>117.063</v>
      </c>
      <c r="C9" s="57">
        <v>81.721000000000004</v>
      </c>
      <c r="D9" s="57">
        <v>123.1</v>
      </c>
      <c r="E9" s="57">
        <v>118.7</v>
      </c>
      <c r="F9" s="58">
        <v>149.4</v>
      </c>
      <c r="G9" s="58">
        <v>137</v>
      </c>
      <c r="H9" s="59">
        <v>172</v>
      </c>
      <c r="I9" s="59">
        <v>224</v>
      </c>
      <c r="J9" s="59">
        <f>198+2</f>
        <v>200</v>
      </c>
      <c r="K9" s="59">
        <f>217+3</f>
        <v>220</v>
      </c>
      <c r="L9" s="31">
        <v>222</v>
      </c>
      <c r="M9" s="31">
        <f>292+2</f>
        <v>294</v>
      </c>
      <c r="N9" s="31">
        <f>237+4</f>
        <v>241</v>
      </c>
      <c r="O9" s="31">
        <f>265+2</f>
        <v>267</v>
      </c>
      <c r="P9" s="31">
        <f>232+2</f>
        <v>234</v>
      </c>
      <c r="Q9" s="50">
        <v>342</v>
      </c>
      <c r="R9" s="50">
        <v>370</v>
      </c>
      <c r="S9" s="50">
        <v>373</v>
      </c>
      <c r="T9" s="50">
        <v>193</v>
      </c>
      <c r="U9" s="50">
        <v>148</v>
      </c>
      <c r="V9" s="50">
        <v>45</v>
      </c>
      <c r="W9" s="50">
        <v>63</v>
      </c>
      <c r="X9" s="50">
        <v>59</v>
      </c>
      <c r="Y9" s="50">
        <v>71</v>
      </c>
      <c r="Z9" s="50">
        <v>85</v>
      </c>
      <c r="AA9" s="50">
        <v>116</v>
      </c>
      <c r="AB9" s="50">
        <v>78</v>
      </c>
      <c r="AC9" s="50">
        <v>67</v>
      </c>
      <c r="AD9" s="50">
        <v>80</v>
      </c>
      <c r="AE9" s="50">
        <v>84</v>
      </c>
      <c r="AF9" s="50">
        <v>66</v>
      </c>
      <c r="AG9" s="50">
        <v>83</v>
      </c>
      <c r="AH9" s="74">
        <v>57</v>
      </c>
      <c r="AI9" s="74">
        <v>37</v>
      </c>
      <c r="AJ9" s="74">
        <v>34</v>
      </c>
      <c r="AK9" s="74">
        <v>29</v>
      </c>
      <c r="AL9" s="50"/>
      <c r="AM9" s="60">
        <v>116</v>
      </c>
      <c r="AN9" s="60">
        <v>116</v>
      </c>
      <c r="AO9" s="60">
        <v>116</v>
      </c>
      <c r="AP9" s="60">
        <v>116</v>
      </c>
      <c r="AQ9" s="60">
        <v>116</v>
      </c>
      <c r="AR9" s="60">
        <v>116</v>
      </c>
      <c r="AS9" s="60">
        <v>116</v>
      </c>
      <c r="AT9" s="60">
        <f t="shared" si="0"/>
        <v>10</v>
      </c>
      <c r="AU9" s="29">
        <f t="shared" si="1"/>
        <v>0.90909090909090651</v>
      </c>
      <c r="AV9" s="29">
        <f t="shared" si="2"/>
        <v>32.432432432432421</v>
      </c>
      <c r="AW9" s="29">
        <f t="shared" si="3"/>
        <v>-18.027210884353735</v>
      </c>
      <c r="AX9" s="29">
        <f t="shared" si="4"/>
        <v>10.788381742738594</v>
      </c>
      <c r="AY9" s="29">
        <f t="shared" si="5"/>
        <v>-12.359550561797747</v>
      </c>
      <c r="AZ9" s="29">
        <f t="shared" si="6"/>
        <v>46.153846153846132</v>
      </c>
      <c r="BA9" s="29">
        <f t="shared" si="7"/>
        <v>8.1871345029239819</v>
      </c>
      <c r="BB9" s="29">
        <f t="shared" si="8"/>
        <v>0.81081081081080697</v>
      </c>
      <c r="BC9" s="29">
        <f t="shared" si="9"/>
        <v>-48.257372654155496</v>
      </c>
      <c r="BD9" s="29">
        <f t="shared" si="10"/>
        <v>-23.316062176165815</v>
      </c>
      <c r="BE9" s="29" t="e">
        <f>+#REF!/U9*100-100</f>
        <v>#REF!</v>
      </c>
      <c r="BF9" s="29">
        <f t="shared" si="12"/>
        <v>-6.3492063492063551</v>
      </c>
      <c r="BG9" s="29">
        <f t="shared" si="13"/>
        <v>20.338983050847446</v>
      </c>
      <c r="BH9" s="29">
        <f t="shared" si="14"/>
        <v>19.718309859154928</v>
      </c>
      <c r="BI9" s="29">
        <f t="shared" si="15"/>
        <v>36.470588235294116</v>
      </c>
      <c r="BJ9" s="29">
        <f t="shared" si="16"/>
        <v>-32.758620689655174</v>
      </c>
      <c r="BK9" s="29">
        <f t="shared" si="17"/>
        <v>-14.102564102564102</v>
      </c>
      <c r="BL9" s="29">
        <f t="shared" si="18"/>
        <v>19.402985074626855</v>
      </c>
      <c r="BM9" s="29">
        <f t="shared" si="19"/>
        <v>5</v>
      </c>
      <c r="BN9" s="29">
        <f t="shared" si="20"/>
        <v>-21.428571428571431</v>
      </c>
      <c r="BO9" s="29">
        <f t="shared" si="21"/>
        <v>25.757575757575751</v>
      </c>
      <c r="BP9" s="29">
        <f t="shared" si="22"/>
        <v>-31.325301204819283</v>
      </c>
      <c r="BQ9" s="29">
        <f t="shared" si="23"/>
        <v>-35.087719298245617</v>
      </c>
      <c r="BR9" s="29">
        <f t="shared" si="24"/>
        <v>-8.1081081081080981</v>
      </c>
      <c r="BS9" s="29">
        <f t="shared" si="24"/>
        <v>-14.705882352941174</v>
      </c>
      <c r="BT9" s="25"/>
      <c r="BU9" s="7" t="s">
        <v>42</v>
      </c>
      <c r="BZ9" s="19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</row>
    <row r="10" spans="1:95" ht="17.100000000000001" customHeight="1" x14ac:dyDescent="0.25">
      <c r="A10" s="4" t="s">
        <v>36</v>
      </c>
      <c r="B10" s="57">
        <v>107.66800000000001</v>
      </c>
      <c r="C10" s="57">
        <v>119.157</v>
      </c>
      <c r="D10" s="57">
        <v>128.5</v>
      </c>
      <c r="E10" s="57">
        <v>106.11</v>
      </c>
      <c r="F10" s="58">
        <v>171.6</v>
      </c>
      <c r="G10" s="58">
        <v>158</v>
      </c>
      <c r="H10" s="59">
        <v>185</v>
      </c>
      <c r="I10" s="59">
        <v>272</v>
      </c>
      <c r="J10" s="59">
        <v>224</v>
      </c>
      <c r="K10" s="59">
        <v>175</v>
      </c>
      <c r="L10" s="31">
        <v>261</v>
      </c>
      <c r="M10" s="31">
        <f>325+2</f>
        <v>327</v>
      </c>
      <c r="N10" s="31">
        <f>271+2</f>
        <v>273</v>
      </c>
      <c r="O10" s="31">
        <f>296+3</f>
        <v>299</v>
      </c>
      <c r="P10" s="31">
        <f>288+3</f>
        <v>291</v>
      </c>
      <c r="Q10" s="50">
        <v>424</v>
      </c>
      <c r="R10" s="50">
        <v>400</v>
      </c>
      <c r="S10" s="50">
        <v>377</v>
      </c>
      <c r="T10" s="50">
        <v>201</v>
      </c>
      <c r="U10" s="50">
        <v>187</v>
      </c>
      <c r="V10" s="50">
        <v>51</v>
      </c>
      <c r="W10" s="50">
        <v>64</v>
      </c>
      <c r="X10" s="50">
        <v>58</v>
      </c>
      <c r="Y10" s="50">
        <v>126</v>
      </c>
      <c r="Z10" s="50">
        <v>81</v>
      </c>
      <c r="AA10" s="50">
        <v>113</v>
      </c>
      <c r="AB10" s="50">
        <v>82</v>
      </c>
      <c r="AC10" s="50">
        <v>70</v>
      </c>
      <c r="AD10" s="50">
        <v>95</v>
      </c>
      <c r="AE10" s="50">
        <v>77</v>
      </c>
      <c r="AF10" s="50">
        <v>69</v>
      </c>
      <c r="AG10" s="50">
        <v>84</v>
      </c>
      <c r="AH10" s="74">
        <v>49</v>
      </c>
      <c r="AI10" s="74">
        <v>45</v>
      </c>
      <c r="AJ10" s="74">
        <v>41</v>
      </c>
      <c r="AK10" s="74">
        <v>33</v>
      </c>
      <c r="AL10" s="50"/>
      <c r="AM10" s="60">
        <v>113</v>
      </c>
      <c r="AN10" s="60">
        <v>113</v>
      </c>
      <c r="AO10" s="60">
        <v>113</v>
      </c>
      <c r="AP10" s="60">
        <v>113</v>
      </c>
      <c r="AQ10" s="60">
        <v>113</v>
      </c>
      <c r="AR10" s="60">
        <v>113</v>
      </c>
      <c r="AS10" s="60">
        <v>113</v>
      </c>
      <c r="AT10" s="60">
        <f t="shared" si="0"/>
        <v>-21.875</v>
      </c>
      <c r="AU10" s="29">
        <f t="shared" si="1"/>
        <v>49.142857142857139</v>
      </c>
      <c r="AV10" s="29">
        <f t="shared" si="2"/>
        <v>25.287356321839084</v>
      </c>
      <c r="AW10" s="29">
        <f t="shared" si="3"/>
        <v>-16.513761467889907</v>
      </c>
      <c r="AX10" s="29">
        <f t="shared" si="4"/>
        <v>9.5238095238095184</v>
      </c>
      <c r="AY10" s="29">
        <f t="shared" si="5"/>
        <v>-2.6755852842809418</v>
      </c>
      <c r="AZ10" s="29">
        <f t="shared" si="6"/>
        <v>45.704467353951884</v>
      </c>
      <c r="BA10" s="29">
        <f t="shared" si="7"/>
        <v>-5.6603773584905639</v>
      </c>
      <c r="BB10" s="29">
        <f t="shared" si="8"/>
        <v>-5.75</v>
      </c>
      <c r="BC10" s="29">
        <f t="shared" si="9"/>
        <v>-46.684350132625994</v>
      </c>
      <c r="BD10" s="29">
        <f t="shared" si="10"/>
        <v>-6.9651741293532297</v>
      </c>
      <c r="BE10" s="29" t="e">
        <f>+#REF!/U10*100-100</f>
        <v>#REF!</v>
      </c>
      <c r="BF10" s="29">
        <f t="shared" si="12"/>
        <v>-9.375</v>
      </c>
      <c r="BG10" s="29">
        <f t="shared" si="13"/>
        <v>117.24137931034483</v>
      </c>
      <c r="BH10" s="29">
        <f t="shared" si="14"/>
        <v>-35.714285714285708</v>
      </c>
      <c r="BI10" s="29">
        <f t="shared" si="15"/>
        <v>39.506172839506178</v>
      </c>
      <c r="BJ10" s="29">
        <f t="shared" si="16"/>
        <v>-27.43362831858407</v>
      </c>
      <c r="BK10" s="29">
        <f t="shared" si="17"/>
        <v>-14.634146341463421</v>
      </c>
      <c r="BL10" s="29">
        <f t="shared" si="18"/>
        <v>35.714285714285722</v>
      </c>
      <c r="BM10" s="29">
        <f t="shared" si="19"/>
        <v>-18.94736842105263</v>
      </c>
      <c r="BN10" s="29">
        <f t="shared" si="20"/>
        <v>-10.389610389610397</v>
      </c>
      <c r="BO10" s="29">
        <f t="shared" si="21"/>
        <v>21.739130434782624</v>
      </c>
      <c r="BP10" s="29">
        <f t="shared" si="22"/>
        <v>-41.666666666666664</v>
      </c>
      <c r="BQ10" s="29">
        <f t="shared" si="23"/>
        <v>-8.1632653061224403</v>
      </c>
      <c r="BR10" s="29">
        <f t="shared" si="24"/>
        <v>-8.8888888888888857</v>
      </c>
      <c r="BS10" s="29">
        <f t="shared" si="24"/>
        <v>-19.512195121951208</v>
      </c>
      <c r="BT10" s="25"/>
      <c r="BU10" s="7" t="s">
        <v>43</v>
      </c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</row>
    <row r="11" spans="1:95" ht="17.100000000000001" customHeight="1" x14ac:dyDescent="0.25">
      <c r="A11" s="21" t="s">
        <v>31</v>
      </c>
      <c r="B11" s="57">
        <v>109.93600000000001</v>
      </c>
      <c r="C11" s="57">
        <v>139.797</v>
      </c>
      <c r="D11" s="57">
        <v>98.3</v>
      </c>
      <c r="E11" s="57">
        <v>121.42</v>
      </c>
      <c r="F11" s="58">
        <v>186.1</v>
      </c>
      <c r="G11" s="58">
        <v>133</v>
      </c>
      <c r="H11" s="59">
        <f>239+4</f>
        <v>243</v>
      </c>
      <c r="I11" s="59">
        <v>282</v>
      </c>
      <c r="J11" s="59">
        <f>208+5</f>
        <v>213</v>
      </c>
      <c r="K11" s="59">
        <v>299</v>
      </c>
      <c r="L11" s="31">
        <f>251+2</f>
        <v>253</v>
      </c>
      <c r="M11" s="31">
        <v>335</v>
      </c>
      <c r="N11" s="31">
        <f>389+3</f>
        <v>392</v>
      </c>
      <c r="O11" s="31">
        <f>242+1</f>
        <v>243</v>
      </c>
      <c r="P11" s="31">
        <f>370+2</f>
        <v>372</v>
      </c>
      <c r="Q11" s="50">
        <v>481</v>
      </c>
      <c r="R11" s="50">
        <v>422</v>
      </c>
      <c r="S11" s="50">
        <v>409</v>
      </c>
      <c r="T11" s="50">
        <v>218</v>
      </c>
      <c r="U11" s="50">
        <v>170</v>
      </c>
      <c r="V11" s="50">
        <v>55</v>
      </c>
      <c r="W11" s="50">
        <v>54</v>
      </c>
      <c r="X11" s="50">
        <v>54</v>
      </c>
      <c r="Y11" s="50">
        <v>85</v>
      </c>
      <c r="Z11" s="50">
        <v>68</v>
      </c>
      <c r="AA11" s="50">
        <v>93</v>
      </c>
      <c r="AB11" s="50">
        <v>71</v>
      </c>
      <c r="AC11" s="50">
        <v>66</v>
      </c>
      <c r="AD11" s="50">
        <v>68</v>
      </c>
      <c r="AE11" s="50">
        <v>59</v>
      </c>
      <c r="AF11" s="50">
        <v>83</v>
      </c>
      <c r="AG11" s="50">
        <v>82</v>
      </c>
      <c r="AH11" s="50">
        <v>71</v>
      </c>
      <c r="AI11" s="50">
        <v>51</v>
      </c>
      <c r="AJ11" s="50">
        <v>44</v>
      </c>
      <c r="AK11" s="50">
        <v>32</v>
      </c>
      <c r="AL11" s="50"/>
      <c r="AM11" s="60">
        <v>93</v>
      </c>
      <c r="AN11" s="60">
        <v>93</v>
      </c>
      <c r="AO11" s="60">
        <v>93</v>
      </c>
      <c r="AP11" s="60">
        <v>93</v>
      </c>
      <c r="AQ11" s="60">
        <v>93</v>
      </c>
      <c r="AR11" s="60">
        <v>93</v>
      </c>
      <c r="AS11" s="60">
        <v>93</v>
      </c>
      <c r="AT11" s="60">
        <f t="shared" si="0"/>
        <v>40.375586854460096</v>
      </c>
      <c r="AU11" s="29">
        <f t="shared" si="1"/>
        <v>-15.384615384615387</v>
      </c>
      <c r="AV11" s="29">
        <f t="shared" si="2"/>
        <v>32.411067193675876</v>
      </c>
      <c r="AW11" s="29">
        <f t="shared" si="3"/>
        <v>17.014925373134332</v>
      </c>
      <c r="AX11" s="29">
        <f t="shared" si="4"/>
        <v>-38.010204081632651</v>
      </c>
      <c r="AY11" s="29">
        <f t="shared" si="5"/>
        <v>53.086419753086432</v>
      </c>
      <c r="AZ11" s="29">
        <f t="shared" si="6"/>
        <v>29.301075268817215</v>
      </c>
      <c r="BA11" s="29">
        <f t="shared" si="7"/>
        <v>-12.266112266112259</v>
      </c>
      <c r="BB11" s="29">
        <f t="shared" si="8"/>
        <v>-3.0805687203791479</v>
      </c>
      <c r="BC11" s="29">
        <f t="shared" si="9"/>
        <v>-46.699266503667481</v>
      </c>
      <c r="BD11" s="29">
        <f t="shared" si="10"/>
        <v>-22.018348623853214</v>
      </c>
      <c r="BE11" s="29" t="e">
        <f>+#REF!/U11*100-100</f>
        <v>#REF!</v>
      </c>
      <c r="BF11" s="29">
        <f t="shared" si="12"/>
        <v>0</v>
      </c>
      <c r="BG11" s="29">
        <f t="shared" si="13"/>
        <v>57.407407407407419</v>
      </c>
      <c r="BH11" s="29">
        <f t="shared" si="14"/>
        <v>-20</v>
      </c>
      <c r="BI11" s="29">
        <f t="shared" si="15"/>
        <v>36.764705882352956</v>
      </c>
      <c r="BJ11" s="29">
        <f t="shared" si="16"/>
        <v>-23.655913978494624</v>
      </c>
      <c r="BK11" s="29">
        <f t="shared" si="17"/>
        <v>-7.0422535211267672</v>
      </c>
      <c r="BL11" s="29">
        <f t="shared" si="18"/>
        <v>3.0303030303030312</v>
      </c>
      <c r="BM11" s="29">
        <f t="shared" si="19"/>
        <v>-13.235294117647058</v>
      </c>
      <c r="BN11" s="29">
        <f t="shared" si="20"/>
        <v>40.677966101694921</v>
      </c>
      <c r="BO11" s="29">
        <f t="shared" si="21"/>
        <v>-1.2048192771084416</v>
      </c>
      <c r="BP11" s="29">
        <f t="shared" si="22"/>
        <v>-13.41463414634147</v>
      </c>
      <c r="BQ11" s="29">
        <f t="shared" si="23"/>
        <v>-28.16901408450704</v>
      </c>
      <c r="BR11" s="29">
        <f>+AJ11/AI11*100-100</f>
        <v>-13.725490196078425</v>
      </c>
      <c r="BS11" s="29">
        <f t="shared" si="24"/>
        <v>-27.272727272727266</v>
      </c>
      <c r="BT11" s="25"/>
      <c r="BU11" s="7" t="s">
        <v>44</v>
      </c>
      <c r="BZ11" s="19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</row>
    <row r="12" spans="1:95" ht="17.100000000000001" customHeight="1" x14ac:dyDescent="0.25">
      <c r="A12" s="4" t="s">
        <v>32</v>
      </c>
      <c r="B12" s="57">
        <v>163.99100000000001</v>
      </c>
      <c r="C12" s="57">
        <v>233.76300000000001</v>
      </c>
      <c r="D12" s="57">
        <v>216</v>
      </c>
      <c r="E12" s="57">
        <v>216.6</v>
      </c>
      <c r="F12" s="58">
        <v>231.4</v>
      </c>
      <c r="G12" s="58">
        <v>172</v>
      </c>
      <c r="H12" s="59">
        <v>319</v>
      </c>
      <c r="I12" s="59">
        <v>334</v>
      </c>
      <c r="J12" s="59">
        <f>300+6</f>
        <v>306</v>
      </c>
      <c r="K12" s="59">
        <v>269</v>
      </c>
      <c r="L12" s="31">
        <v>326</v>
      </c>
      <c r="M12" s="31">
        <f>256+2</f>
        <v>258</v>
      </c>
      <c r="N12" s="31">
        <f>387+1</f>
        <v>388</v>
      </c>
      <c r="O12" s="31">
        <f>374+1</f>
        <v>375</v>
      </c>
      <c r="P12" s="31">
        <f>456+1</f>
        <v>457</v>
      </c>
      <c r="Q12" s="50">
        <v>436</v>
      </c>
      <c r="R12" s="50">
        <v>445</v>
      </c>
      <c r="S12" s="50">
        <v>417</v>
      </c>
      <c r="T12" s="50">
        <v>194</v>
      </c>
      <c r="U12" s="50">
        <v>204</v>
      </c>
      <c r="V12" s="50">
        <v>72</v>
      </c>
      <c r="W12" s="50">
        <v>70</v>
      </c>
      <c r="X12" s="50">
        <v>78</v>
      </c>
      <c r="Y12" s="50">
        <v>91</v>
      </c>
      <c r="Z12" s="50">
        <v>127</v>
      </c>
      <c r="AA12" s="50">
        <v>152</v>
      </c>
      <c r="AB12" s="50">
        <v>87</v>
      </c>
      <c r="AC12" s="50">
        <v>88</v>
      </c>
      <c r="AD12" s="50">
        <v>105</v>
      </c>
      <c r="AE12" s="50">
        <v>87</v>
      </c>
      <c r="AF12" s="50">
        <v>84</v>
      </c>
      <c r="AG12" s="50">
        <v>73</v>
      </c>
      <c r="AH12" s="50">
        <v>79</v>
      </c>
      <c r="AI12" s="50">
        <v>45</v>
      </c>
      <c r="AJ12" s="50">
        <v>33</v>
      </c>
      <c r="AK12" s="50">
        <v>27</v>
      </c>
      <c r="AL12" s="50"/>
      <c r="AM12" s="60">
        <v>117</v>
      </c>
      <c r="AN12" s="60">
        <v>117</v>
      </c>
      <c r="AO12" s="60">
        <v>117</v>
      </c>
      <c r="AP12" s="60">
        <v>117</v>
      </c>
      <c r="AQ12" s="60">
        <v>117</v>
      </c>
      <c r="AR12" s="60">
        <v>117</v>
      </c>
      <c r="AS12" s="60">
        <v>117</v>
      </c>
      <c r="AT12" s="60">
        <f t="shared" si="0"/>
        <v>-12.091503267973863</v>
      </c>
      <c r="AU12" s="29">
        <f t="shared" si="1"/>
        <v>21.189591078066911</v>
      </c>
      <c r="AV12" s="29">
        <f t="shared" si="2"/>
        <v>-20.858895705521476</v>
      </c>
      <c r="AW12" s="29">
        <f t="shared" si="3"/>
        <v>50.387596899224803</v>
      </c>
      <c r="AX12" s="29">
        <f t="shared" si="4"/>
        <v>-3.3505154639175316</v>
      </c>
      <c r="AY12" s="29">
        <f t="shared" si="5"/>
        <v>21.86666666666666</v>
      </c>
      <c r="AZ12" s="29">
        <f t="shared" si="6"/>
        <v>-4.5951859956236234</v>
      </c>
      <c r="BA12" s="29">
        <f t="shared" si="7"/>
        <v>2.0642201834862419</v>
      </c>
      <c r="BB12" s="29">
        <f t="shared" si="8"/>
        <v>-6.2921348314606718</v>
      </c>
      <c r="BC12" s="29">
        <f t="shared" si="9"/>
        <v>-53.477218225419662</v>
      </c>
      <c r="BD12" s="29">
        <f t="shared" si="10"/>
        <v>5.1546391752577421</v>
      </c>
      <c r="BE12" s="29" t="e">
        <f>+#REF!/U12*100-100</f>
        <v>#REF!</v>
      </c>
      <c r="BF12" s="29">
        <f t="shared" si="12"/>
        <v>11.428571428571431</v>
      </c>
      <c r="BG12" s="29">
        <f t="shared" si="13"/>
        <v>16.666666666666671</v>
      </c>
      <c r="BH12" s="29">
        <f t="shared" si="14"/>
        <v>39.560439560439562</v>
      </c>
      <c r="BI12" s="29">
        <f t="shared" si="15"/>
        <v>19.685039370078755</v>
      </c>
      <c r="BJ12" s="29">
        <f t="shared" si="16"/>
        <v>-42.76315789473685</v>
      </c>
      <c r="BK12" s="29">
        <f t="shared" si="17"/>
        <v>1.1494252873563369</v>
      </c>
      <c r="BL12" s="29">
        <f t="shared" si="18"/>
        <v>19.318181818181813</v>
      </c>
      <c r="BM12" s="29">
        <f t="shared" si="19"/>
        <v>-17.142857142857139</v>
      </c>
      <c r="BN12" s="29">
        <f t="shared" si="20"/>
        <v>-3.448275862068968</v>
      </c>
      <c r="BO12" s="29">
        <f t="shared" si="21"/>
        <v>-13.095238095238088</v>
      </c>
      <c r="BP12" s="29">
        <f t="shared" si="22"/>
        <v>8.2191780821917888</v>
      </c>
      <c r="BQ12" s="29">
        <f t="shared" si="23"/>
        <v>-43.037974683544299</v>
      </c>
      <c r="BR12" s="29">
        <f>+AJ12/AI12*100-100</f>
        <v>-26.666666666666671</v>
      </c>
      <c r="BS12" s="29">
        <f t="shared" si="24"/>
        <v>-18.181818181818173</v>
      </c>
      <c r="BT12" s="25"/>
      <c r="BU12" s="7" t="s">
        <v>45</v>
      </c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</row>
    <row r="13" spans="1:95" ht="17.100000000000001" customHeight="1" x14ac:dyDescent="0.25">
      <c r="A13" s="21" t="s">
        <v>33</v>
      </c>
      <c r="B13" s="57">
        <v>191.58600000000001</v>
      </c>
      <c r="C13" s="57">
        <v>242.32400000000001</v>
      </c>
      <c r="D13" s="25">
        <v>182.8</v>
      </c>
      <c r="E13" s="57">
        <v>192.4</v>
      </c>
      <c r="F13" s="58">
        <v>238.3</v>
      </c>
      <c r="G13" s="58">
        <v>225</v>
      </c>
      <c r="H13" s="59">
        <v>424</v>
      </c>
      <c r="I13" s="59">
        <v>363</v>
      </c>
      <c r="J13" s="59">
        <f>301+3</f>
        <v>304</v>
      </c>
      <c r="K13" s="59">
        <v>318</v>
      </c>
      <c r="L13" s="31">
        <v>307</v>
      </c>
      <c r="M13" s="31">
        <f>244+2</f>
        <v>246</v>
      </c>
      <c r="N13" s="31">
        <f>327+3</f>
        <v>330</v>
      </c>
      <c r="O13" s="31">
        <f>321+1</f>
        <v>322</v>
      </c>
      <c r="P13" s="31">
        <f>454+3</f>
        <v>457</v>
      </c>
      <c r="Q13" s="50">
        <v>464</v>
      </c>
      <c r="R13" s="50">
        <v>429</v>
      </c>
      <c r="S13" s="50">
        <v>379</v>
      </c>
      <c r="T13" s="50">
        <v>199</v>
      </c>
      <c r="U13" s="50">
        <v>176</v>
      </c>
      <c r="V13" s="50">
        <v>79</v>
      </c>
      <c r="W13" s="50">
        <v>83</v>
      </c>
      <c r="X13" s="50">
        <v>85</v>
      </c>
      <c r="Y13" s="50">
        <v>110</v>
      </c>
      <c r="Z13" s="50">
        <v>138</v>
      </c>
      <c r="AA13" s="50">
        <v>112</v>
      </c>
      <c r="AB13" s="50">
        <v>108</v>
      </c>
      <c r="AC13" s="50">
        <v>93</v>
      </c>
      <c r="AD13" s="50">
        <v>109</v>
      </c>
      <c r="AE13" s="50">
        <v>97</v>
      </c>
      <c r="AF13" s="50">
        <v>87</v>
      </c>
      <c r="AG13" s="50">
        <v>74</v>
      </c>
      <c r="AH13" s="50">
        <v>71</v>
      </c>
      <c r="AI13" s="50">
        <v>61</v>
      </c>
      <c r="AJ13" s="50">
        <v>28</v>
      </c>
      <c r="AK13" s="50">
        <v>42</v>
      </c>
      <c r="AL13" s="50"/>
      <c r="AM13" s="60">
        <v>76</v>
      </c>
      <c r="AN13" s="60">
        <v>76</v>
      </c>
      <c r="AO13" s="60">
        <v>76</v>
      </c>
      <c r="AP13" s="60">
        <v>76</v>
      </c>
      <c r="AQ13" s="60">
        <v>76</v>
      </c>
      <c r="AR13" s="60">
        <v>76</v>
      </c>
      <c r="AS13" s="60">
        <v>76</v>
      </c>
      <c r="AT13" s="60">
        <f t="shared" si="0"/>
        <v>4.6052631578947398</v>
      </c>
      <c r="AU13" s="29">
        <f t="shared" si="1"/>
        <v>-3.4591194968553509</v>
      </c>
      <c r="AV13" s="29">
        <f t="shared" si="2"/>
        <v>-19.869706840390876</v>
      </c>
      <c r="AW13" s="29">
        <f t="shared" si="3"/>
        <v>34.146341463414643</v>
      </c>
      <c r="AX13" s="29">
        <f t="shared" si="4"/>
        <v>-2.4242424242424221</v>
      </c>
      <c r="AY13" s="29">
        <f t="shared" si="5"/>
        <v>41.925465838509325</v>
      </c>
      <c r="AZ13" s="29">
        <f t="shared" si="6"/>
        <v>1.5317286652078792</v>
      </c>
      <c r="BA13" s="29">
        <f t="shared" si="7"/>
        <v>-7.5431034482758719</v>
      </c>
      <c r="BB13" s="29">
        <f t="shared" si="8"/>
        <v>-11.655011655011663</v>
      </c>
      <c r="BC13" s="29">
        <f t="shared" si="9"/>
        <v>-47.493403693931398</v>
      </c>
      <c r="BD13" s="29">
        <f t="shared" si="10"/>
        <v>-11.557788944723612</v>
      </c>
      <c r="BE13" s="29" t="e">
        <f>+#REF!/U13*100-100</f>
        <v>#REF!</v>
      </c>
      <c r="BF13" s="29">
        <f t="shared" si="12"/>
        <v>2.409638554216869</v>
      </c>
      <c r="BG13" s="29">
        <f t="shared" si="13"/>
        <v>29.411764705882348</v>
      </c>
      <c r="BH13" s="29">
        <f t="shared" si="14"/>
        <v>25.454545454545467</v>
      </c>
      <c r="BI13" s="29">
        <f t="shared" si="15"/>
        <v>-18.840579710144922</v>
      </c>
      <c r="BJ13" s="29">
        <f t="shared" si="16"/>
        <v>-3.5714285714285694</v>
      </c>
      <c r="BK13" s="29">
        <f t="shared" si="17"/>
        <v>-13.888888888888886</v>
      </c>
      <c r="BL13" s="29">
        <f t="shared" si="18"/>
        <v>17.20430107526883</v>
      </c>
      <c r="BM13" s="29">
        <f t="shared" si="19"/>
        <v>-11.0091743119266</v>
      </c>
      <c r="BN13" s="29">
        <f t="shared" si="20"/>
        <v>-10.309278350515456</v>
      </c>
      <c r="BO13" s="29">
        <f t="shared" si="21"/>
        <v>-14.942528735632195</v>
      </c>
      <c r="BP13" s="29">
        <f t="shared" si="22"/>
        <v>-4.0540540540540633</v>
      </c>
      <c r="BQ13" s="29">
        <f t="shared" si="23"/>
        <v>-14.08450704225352</v>
      </c>
      <c r="BR13" s="29">
        <f>+AJ13/AI13*100-100</f>
        <v>-54.098360655737707</v>
      </c>
      <c r="BS13" s="29">
        <f t="shared" si="24"/>
        <v>50</v>
      </c>
      <c r="BT13" s="25"/>
      <c r="BU13" s="7" t="s">
        <v>46</v>
      </c>
      <c r="BZ13" s="19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</row>
    <row r="14" spans="1:95" ht="17.100000000000001" customHeight="1" x14ac:dyDescent="0.25">
      <c r="A14" s="4" t="s">
        <v>34</v>
      </c>
      <c r="B14" s="57">
        <v>139.67500000000001</v>
      </c>
      <c r="C14" s="57">
        <v>172.9</v>
      </c>
      <c r="D14" s="25">
        <v>183.5</v>
      </c>
      <c r="E14" s="57">
        <v>183.7</v>
      </c>
      <c r="F14" s="58">
        <v>224.7</v>
      </c>
      <c r="G14" s="58">
        <v>172</v>
      </c>
      <c r="H14" s="59">
        <v>374</v>
      </c>
      <c r="I14" s="59">
        <v>359</v>
      </c>
      <c r="J14" s="59">
        <f>253+5</f>
        <v>258</v>
      </c>
      <c r="K14" s="59">
        <v>313</v>
      </c>
      <c r="L14" s="31">
        <f>264+5</f>
        <v>269</v>
      </c>
      <c r="M14" s="31">
        <f>198+3</f>
        <v>201</v>
      </c>
      <c r="N14" s="31">
        <f>309+2</f>
        <v>311</v>
      </c>
      <c r="O14" s="31">
        <f>366+4</f>
        <v>370</v>
      </c>
      <c r="P14" s="31">
        <f>509+2</f>
        <v>511</v>
      </c>
      <c r="Q14" s="50">
        <v>574</v>
      </c>
      <c r="R14" s="50">
        <v>327</v>
      </c>
      <c r="S14" s="50">
        <v>327</v>
      </c>
      <c r="T14" s="50">
        <v>218</v>
      </c>
      <c r="U14" s="50">
        <v>159</v>
      </c>
      <c r="V14" s="50">
        <v>84</v>
      </c>
      <c r="W14" s="50">
        <v>84</v>
      </c>
      <c r="X14" s="50">
        <v>84</v>
      </c>
      <c r="Y14" s="50">
        <v>108</v>
      </c>
      <c r="Z14" s="50">
        <v>122</v>
      </c>
      <c r="AA14" s="50">
        <v>130</v>
      </c>
      <c r="AB14" s="50">
        <v>102</v>
      </c>
      <c r="AC14" s="50">
        <v>98</v>
      </c>
      <c r="AD14" s="50">
        <v>105</v>
      </c>
      <c r="AE14" s="50">
        <v>97</v>
      </c>
      <c r="AF14" s="50">
        <v>88</v>
      </c>
      <c r="AG14" s="50">
        <v>93</v>
      </c>
      <c r="AH14" s="50">
        <v>71</v>
      </c>
      <c r="AI14" s="50">
        <v>57</v>
      </c>
      <c r="AJ14" s="50">
        <v>32</v>
      </c>
      <c r="AK14" s="50">
        <v>32</v>
      </c>
      <c r="AL14" s="50"/>
      <c r="AM14" s="60">
        <v>94</v>
      </c>
      <c r="AN14" s="60">
        <v>94</v>
      </c>
      <c r="AO14" s="60">
        <v>94</v>
      </c>
      <c r="AP14" s="60">
        <v>94</v>
      </c>
      <c r="AQ14" s="60">
        <v>94</v>
      </c>
      <c r="AR14" s="60">
        <v>94</v>
      </c>
      <c r="AS14" s="60">
        <v>94</v>
      </c>
      <c r="AT14" s="60">
        <f t="shared" si="0"/>
        <v>21.31782945736434</v>
      </c>
      <c r="AU14" s="29">
        <f t="shared" si="1"/>
        <v>-14.057507987220447</v>
      </c>
      <c r="AV14" s="29">
        <f t="shared" si="2"/>
        <v>-25.278810408921927</v>
      </c>
      <c r="AW14" s="29">
        <f t="shared" si="3"/>
        <v>54.726368159203986</v>
      </c>
      <c r="AX14" s="29">
        <f t="shared" si="4"/>
        <v>18.971061093247584</v>
      </c>
      <c r="AY14" s="29">
        <f t="shared" si="5"/>
        <v>38.108108108108098</v>
      </c>
      <c r="AZ14" s="29">
        <f t="shared" si="6"/>
        <v>12.328767123287676</v>
      </c>
      <c r="BA14" s="29">
        <f t="shared" si="7"/>
        <v>-43.031358885017426</v>
      </c>
      <c r="BB14" s="29">
        <f t="shared" si="8"/>
        <v>0</v>
      </c>
      <c r="BC14" s="29">
        <f t="shared" si="9"/>
        <v>-33.333333333333343</v>
      </c>
      <c r="BD14" s="29">
        <f t="shared" si="10"/>
        <v>-27.064220183486242</v>
      </c>
      <c r="BE14" s="29" t="e">
        <f>+#REF!/U14*100-100</f>
        <v>#REF!</v>
      </c>
      <c r="BF14" s="29">
        <f t="shared" si="12"/>
        <v>0</v>
      </c>
      <c r="BG14" s="29">
        <f t="shared" si="13"/>
        <v>28.571428571428584</v>
      </c>
      <c r="BH14" s="29">
        <f t="shared" si="14"/>
        <v>12.962962962962948</v>
      </c>
      <c r="BI14" s="29">
        <f t="shared" si="15"/>
        <v>6.5573770491803316</v>
      </c>
      <c r="BJ14" s="29">
        <f t="shared" si="16"/>
        <v>-21.538461538461533</v>
      </c>
      <c r="BK14" s="29">
        <f t="shared" si="17"/>
        <v>-3.9215686274509807</v>
      </c>
      <c r="BL14" s="29">
        <f t="shared" si="18"/>
        <v>7.1428571428571388</v>
      </c>
      <c r="BM14" s="29">
        <f t="shared" si="19"/>
        <v>-7.6190476190476204</v>
      </c>
      <c r="BN14" s="29">
        <f t="shared" si="20"/>
        <v>-9.278350515463913</v>
      </c>
      <c r="BO14" s="29">
        <f t="shared" si="21"/>
        <v>5.681818181818187</v>
      </c>
      <c r="BP14" s="29">
        <f t="shared" si="22"/>
        <v>-23.655913978494624</v>
      </c>
      <c r="BQ14" s="29">
        <f t="shared" si="23"/>
        <v>-19.718309859154928</v>
      </c>
      <c r="BR14" s="29">
        <f>+AJ14/AI14*100-100</f>
        <v>-43.859649122807021</v>
      </c>
      <c r="BS14" s="29">
        <f t="shared" si="24"/>
        <v>0</v>
      </c>
      <c r="BT14" s="25"/>
      <c r="BU14" s="7" t="s">
        <v>47</v>
      </c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</row>
    <row r="15" spans="1:95" ht="17.100000000000001" customHeight="1" x14ac:dyDescent="0.25">
      <c r="A15" s="21" t="s">
        <v>35</v>
      </c>
      <c r="B15" s="57">
        <v>140.26499999999999</v>
      </c>
      <c r="C15" s="57">
        <v>160.19399999999999</v>
      </c>
      <c r="D15" s="25">
        <v>162.30000000000001</v>
      </c>
      <c r="E15" s="57">
        <v>166.3</v>
      </c>
      <c r="F15" s="58">
        <v>216.3</v>
      </c>
      <c r="G15" s="58">
        <v>170</v>
      </c>
      <c r="H15" s="59">
        <v>315</v>
      </c>
      <c r="I15" s="59">
        <v>301</v>
      </c>
      <c r="J15" s="59">
        <f>227+6</f>
        <v>233</v>
      </c>
      <c r="K15" s="59">
        <f>259+6</f>
        <v>265</v>
      </c>
      <c r="L15" s="31">
        <v>216</v>
      </c>
      <c r="M15" s="31">
        <f>154+4</f>
        <v>158</v>
      </c>
      <c r="N15" s="31">
        <f>282+2</f>
        <v>284</v>
      </c>
      <c r="O15" s="31">
        <f>278+2</f>
        <v>280</v>
      </c>
      <c r="P15" s="31">
        <f>391+2</f>
        <v>393</v>
      </c>
      <c r="Q15" s="50">
        <v>536</v>
      </c>
      <c r="R15" s="50">
        <v>286</v>
      </c>
      <c r="S15" s="50">
        <v>374</v>
      </c>
      <c r="T15" s="50">
        <v>176</v>
      </c>
      <c r="U15" s="50">
        <v>118</v>
      </c>
      <c r="V15" s="50">
        <v>77</v>
      </c>
      <c r="W15" s="50">
        <v>58</v>
      </c>
      <c r="X15" s="50">
        <v>93</v>
      </c>
      <c r="Y15" s="50">
        <v>103</v>
      </c>
      <c r="Z15" s="50">
        <v>121</v>
      </c>
      <c r="AA15" s="50">
        <v>147</v>
      </c>
      <c r="AB15" s="50">
        <v>90</v>
      </c>
      <c r="AC15" s="50">
        <v>88</v>
      </c>
      <c r="AD15" s="50">
        <v>86</v>
      </c>
      <c r="AE15" s="50">
        <v>94</v>
      </c>
      <c r="AF15" s="50">
        <v>66</v>
      </c>
      <c r="AG15" s="50">
        <v>54</v>
      </c>
      <c r="AH15" s="50">
        <v>48</v>
      </c>
      <c r="AI15" s="50">
        <v>48</v>
      </c>
      <c r="AJ15" s="50">
        <v>30</v>
      </c>
      <c r="AK15" s="50">
        <v>57</v>
      </c>
      <c r="AL15" s="50"/>
      <c r="AM15" s="60">
        <f t="shared" ref="AM15:AS17" si="25">100*D15/C15-100</f>
        <v>1.3146559796247175</v>
      </c>
      <c r="AN15" s="60">
        <f t="shared" si="25"/>
        <v>2.4645717806531025</v>
      </c>
      <c r="AO15" s="60">
        <f t="shared" si="25"/>
        <v>30.066145520144318</v>
      </c>
      <c r="AP15" s="60">
        <f t="shared" si="25"/>
        <v>-21.405455386037914</v>
      </c>
      <c r="AQ15" s="60">
        <f t="shared" si="25"/>
        <v>85.294117647058812</v>
      </c>
      <c r="AR15" s="60">
        <f t="shared" si="25"/>
        <v>-4.4444444444444429</v>
      </c>
      <c r="AS15" s="60">
        <f t="shared" si="25"/>
        <v>-22.591362126245841</v>
      </c>
      <c r="AT15" s="60">
        <f t="shared" si="0"/>
        <v>13.733905579399135</v>
      </c>
      <c r="AU15" s="29">
        <f t="shared" si="1"/>
        <v>-18.490566037735846</v>
      </c>
      <c r="AV15" s="29">
        <f t="shared" si="2"/>
        <v>-26.851851851851848</v>
      </c>
      <c r="AW15" s="29">
        <f t="shared" si="3"/>
        <v>79.74683544303798</v>
      </c>
      <c r="AX15" s="29">
        <f t="shared" si="4"/>
        <v>-1.4084507042253591</v>
      </c>
      <c r="AY15" s="29">
        <f t="shared" si="5"/>
        <v>40.357142857142861</v>
      </c>
      <c r="AZ15" s="29">
        <f t="shared" si="6"/>
        <v>36.386768447837142</v>
      </c>
      <c r="BA15" s="29">
        <f t="shared" si="7"/>
        <v>-46.641791044776113</v>
      </c>
      <c r="BB15" s="29">
        <f t="shared" si="8"/>
        <v>30.769230769230774</v>
      </c>
      <c r="BC15" s="29">
        <f t="shared" si="9"/>
        <v>-52.941176470588239</v>
      </c>
      <c r="BD15" s="29">
        <f t="shared" si="10"/>
        <v>-32.954545454545453</v>
      </c>
      <c r="BE15" s="29" t="e">
        <f>+#REF!/U15*100-100</f>
        <v>#REF!</v>
      </c>
      <c r="BF15" s="29">
        <f t="shared" si="12"/>
        <v>60.34482758620689</v>
      </c>
      <c r="BG15" s="29">
        <f t="shared" si="13"/>
        <v>10.752688172043008</v>
      </c>
      <c r="BH15" s="29">
        <f t="shared" si="14"/>
        <v>17.475728155339795</v>
      </c>
      <c r="BI15" s="29">
        <f t="shared" si="15"/>
        <v>21.487603305785115</v>
      </c>
      <c r="BJ15" s="29">
        <f t="shared" si="16"/>
        <v>-38.775510204081634</v>
      </c>
      <c r="BK15" s="29">
        <f t="shared" si="17"/>
        <v>-2.2222222222222285</v>
      </c>
      <c r="BL15" s="29">
        <f t="shared" si="18"/>
        <v>-2.2727272727272663</v>
      </c>
      <c r="BM15" s="29">
        <f t="shared" si="19"/>
        <v>9.3023255813953369</v>
      </c>
      <c r="BN15" s="29">
        <f t="shared" si="20"/>
        <v>-29.787234042553195</v>
      </c>
      <c r="BO15" s="29">
        <f t="shared" si="21"/>
        <v>-18.181818181818173</v>
      </c>
      <c r="BP15" s="29">
        <f t="shared" si="22"/>
        <v>-11.111111111111114</v>
      </c>
      <c r="BQ15" s="29">
        <f t="shared" si="23"/>
        <v>0</v>
      </c>
      <c r="BR15" s="29">
        <f t="shared" ref="BR15:BR17" si="26">+AJ15/AI15*100-100</f>
        <v>-37.5</v>
      </c>
      <c r="BS15" s="29">
        <f t="shared" si="24"/>
        <v>90</v>
      </c>
      <c r="BT15" s="25"/>
      <c r="BU15" s="7" t="s">
        <v>48</v>
      </c>
      <c r="BZ15" s="19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</row>
    <row r="16" spans="1:95" ht="17.100000000000001" customHeight="1" x14ac:dyDescent="0.25">
      <c r="A16" s="4" t="s">
        <v>37</v>
      </c>
      <c r="B16" s="57">
        <v>103.446</v>
      </c>
      <c r="C16" s="57">
        <v>267.43099999999998</v>
      </c>
      <c r="D16" s="25">
        <v>136.6</v>
      </c>
      <c r="E16" s="70">
        <v>137.6</v>
      </c>
      <c r="F16" s="58">
        <v>153.6</v>
      </c>
      <c r="G16" s="58">
        <v>187</v>
      </c>
      <c r="H16" s="59">
        <v>232</v>
      </c>
      <c r="I16" s="59">
        <f>249+13</f>
        <v>262</v>
      </c>
      <c r="J16" s="59">
        <f>215+17</f>
        <v>232</v>
      </c>
      <c r="K16" s="59">
        <f>314+5</f>
        <v>319</v>
      </c>
      <c r="L16" s="31">
        <f>216+3</f>
        <v>219</v>
      </c>
      <c r="M16" s="31">
        <f>176+4</f>
        <v>180</v>
      </c>
      <c r="N16" s="31">
        <f>214+3</f>
        <v>217</v>
      </c>
      <c r="O16" s="31">
        <f>241+3</f>
        <v>244</v>
      </c>
      <c r="P16" s="31">
        <f>309+3</f>
        <v>312</v>
      </c>
      <c r="Q16" s="50">
        <v>511</v>
      </c>
      <c r="R16" s="50">
        <v>306</v>
      </c>
      <c r="S16" s="50">
        <v>383</v>
      </c>
      <c r="T16" s="50">
        <v>235</v>
      </c>
      <c r="U16" s="50">
        <v>152</v>
      </c>
      <c r="V16" s="50">
        <v>61</v>
      </c>
      <c r="W16" s="50">
        <v>71</v>
      </c>
      <c r="X16" s="50">
        <v>74</v>
      </c>
      <c r="Y16" s="50">
        <v>90</v>
      </c>
      <c r="Z16" s="50">
        <v>125</v>
      </c>
      <c r="AA16" s="50">
        <v>104</v>
      </c>
      <c r="AB16" s="36">
        <v>91</v>
      </c>
      <c r="AC16" s="36">
        <v>74</v>
      </c>
      <c r="AD16" s="36">
        <v>82</v>
      </c>
      <c r="AE16" s="36">
        <v>87</v>
      </c>
      <c r="AF16" s="36">
        <v>67</v>
      </c>
      <c r="AG16" s="36">
        <v>45</v>
      </c>
      <c r="AH16" s="36">
        <v>49</v>
      </c>
      <c r="AI16" s="36">
        <v>53</v>
      </c>
      <c r="AJ16" s="36">
        <v>28</v>
      </c>
      <c r="AK16" s="36">
        <v>40</v>
      </c>
      <c r="AL16" s="50"/>
      <c r="AM16" s="60">
        <f t="shared" si="25"/>
        <v>-48.921404025711304</v>
      </c>
      <c r="AN16" s="60">
        <f t="shared" si="25"/>
        <v>0.7320644216691079</v>
      </c>
      <c r="AO16" s="60">
        <f t="shared" si="25"/>
        <v>11.627906976744185</v>
      </c>
      <c r="AP16" s="60">
        <f t="shared" si="25"/>
        <v>21.744791666666671</v>
      </c>
      <c r="AQ16" s="60">
        <f t="shared" si="25"/>
        <v>24.064171122994651</v>
      </c>
      <c r="AR16" s="60">
        <f t="shared" si="25"/>
        <v>12.931034482758619</v>
      </c>
      <c r="AS16" s="60">
        <f t="shared" si="25"/>
        <v>-11.450381679389309</v>
      </c>
      <c r="AT16" s="60">
        <f t="shared" si="0"/>
        <v>37.5</v>
      </c>
      <c r="AU16" s="29">
        <f t="shared" si="1"/>
        <v>-31.347962382445147</v>
      </c>
      <c r="AV16" s="29">
        <f t="shared" si="2"/>
        <v>-17.808219178082197</v>
      </c>
      <c r="AW16" s="29">
        <f t="shared" si="3"/>
        <v>20.555555555555557</v>
      </c>
      <c r="AX16" s="29">
        <f t="shared" si="4"/>
        <v>12.442396313364057</v>
      </c>
      <c r="AY16" s="29">
        <f t="shared" si="5"/>
        <v>27.868852459016395</v>
      </c>
      <c r="AZ16" s="29">
        <f t="shared" si="6"/>
        <v>63.78205128205127</v>
      </c>
      <c r="BA16" s="29">
        <f t="shared" si="7"/>
        <v>-40.117416829745601</v>
      </c>
      <c r="BB16" s="29">
        <f t="shared" si="8"/>
        <v>25.16339869281046</v>
      </c>
      <c r="BC16" s="29">
        <f t="shared" si="9"/>
        <v>-38.642297650130551</v>
      </c>
      <c r="BD16" s="29">
        <f t="shared" si="10"/>
        <v>-35.319148936170208</v>
      </c>
      <c r="BE16" s="29" t="e">
        <f>+#REF!/U16*100-100</f>
        <v>#REF!</v>
      </c>
      <c r="BF16" s="29">
        <f t="shared" si="12"/>
        <v>4.2253521126760489</v>
      </c>
      <c r="BG16" s="29">
        <f t="shared" si="13"/>
        <v>21.621621621621628</v>
      </c>
      <c r="BH16" s="29">
        <f t="shared" si="14"/>
        <v>38.888888888888886</v>
      </c>
      <c r="BI16" s="29">
        <f t="shared" si="15"/>
        <v>-16.799999999999997</v>
      </c>
      <c r="BJ16" s="29">
        <f t="shared" si="16"/>
        <v>-12.5</v>
      </c>
      <c r="BK16" s="29">
        <f t="shared" si="17"/>
        <v>-18.681318681318686</v>
      </c>
      <c r="BL16" s="29">
        <f t="shared" si="18"/>
        <v>10.810810810810807</v>
      </c>
      <c r="BM16" s="29">
        <f t="shared" si="19"/>
        <v>6.0975609756097668</v>
      </c>
      <c r="BN16" s="29">
        <f t="shared" si="20"/>
        <v>-22.988505747126439</v>
      </c>
      <c r="BO16" s="29">
        <f t="shared" si="21"/>
        <v>-32.835820895522389</v>
      </c>
      <c r="BP16" s="29">
        <f t="shared" si="22"/>
        <v>8.8888888888888857</v>
      </c>
      <c r="BQ16" s="29">
        <f t="shared" si="23"/>
        <v>8.1632653061224545</v>
      </c>
      <c r="BR16" s="29">
        <f t="shared" si="26"/>
        <v>-47.169811320754718</v>
      </c>
      <c r="BS16" s="29">
        <f t="shared" si="24"/>
        <v>42.857142857142861</v>
      </c>
      <c r="BT16" s="25"/>
      <c r="BU16" s="7" t="s">
        <v>49</v>
      </c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</row>
    <row r="17" spans="1:95" ht="17.100000000000001" customHeight="1" x14ac:dyDescent="0.25">
      <c r="A17" s="9" t="s">
        <v>38</v>
      </c>
      <c r="B17" s="15">
        <v>123.845</v>
      </c>
      <c r="C17" s="15">
        <v>183.334</v>
      </c>
      <c r="D17" s="6">
        <v>134.4</v>
      </c>
      <c r="E17" s="15">
        <v>164.2</v>
      </c>
      <c r="F17" s="16">
        <v>179.4</v>
      </c>
      <c r="G17" s="16">
        <v>214</v>
      </c>
      <c r="H17" s="30">
        <f>237+21</f>
        <v>258</v>
      </c>
      <c r="I17" s="30">
        <v>288</v>
      </c>
      <c r="J17" s="30">
        <f>238+16</f>
        <v>254</v>
      </c>
      <c r="K17" s="30">
        <v>326</v>
      </c>
      <c r="L17" s="32">
        <v>239</v>
      </c>
      <c r="M17" s="32">
        <v>210</v>
      </c>
      <c r="N17" s="32">
        <f>165+5</f>
        <v>170</v>
      </c>
      <c r="O17" s="32">
        <f>289+7</f>
        <v>296</v>
      </c>
      <c r="P17" s="32">
        <f>433+4</f>
        <v>437</v>
      </c>
      <c r="Q17" s="32">
        <v>545</v>
      </c>
      <c r="R17" s="32">
        <v>375</v>
      </c>
      <c r="S17" s="46">
        <v>448</v>
      </c>
      <c r="T17" s="32">
        <v>238</v>
      </c>
      <c r="U17" s="46">
        <v>145</v>
      </c>
      <c r="V17" s="46">
        <v>67</v>
      </c>
      <c r="W17" s="46">
        <v>64</v>
      </c>
      <c r="X17" s="46">
        <v>85</v>
      </c>
      <c r="Y17" s="46">
        <v>99</v>
      </c>
      <c r="Z17" s="46">
        <v>114</v>
      </c>
      <c r="AA17" s="46">
        <v>112</v>
      </c>
      <c r="AB17" s="5">
        <v>83</v>
      </c>
      <c r="AC17" s="5">
        <v>93</v>
      </c>
      <c r="AD17" s="5">
        <v>87</v>
      </c>
      <c r="AE17" s="5">
        <v>110</v>
      </c>
      <c r="AF17" s="5">
        <v>70</v>
      </c>
      <c r="AG17" s="5">
        <v>59</v>
      </c>
      <c r="AH17" s="5">
        <v>62</v>
      </c>
      <c r="AI17" s="5">
        <v>52</v>
      </c>
      <c r="AJ17" s="5">
        <v>27</v>
      </c>
      <c r="AK17" s="5"/>
      <c r="AL17" s="32"/>
      <c r="AM17" s="69">
        <f t="shared" si="25"/>
        <v>-26.691175668452118</v>
      </c>
      <c r="AN17" s="69">
        <f t="shared" si="25"/>
        <v>22.172619047619037</v>
      </c>
      <c r="AO17" s="69">
        <f t="shared" si="25"/>
        <v>9.2570036540803926</v>
      </c>
      <c r="AP17" s="69">
        <f t="shared" si="25"/>
        <v>19.286510590858413</v>
      </c>
      <c r="AQ17" s="69">
        <f t="shared" si="25"/>
        <v>20.560747663551396</v>
      </c>
      <c r="AR17" s="69">
        <f t="shared" si="25"/>
        <v>11.627906976744185</v>
      </c>
      <c r="AS17" s="69">
        <f t="shared" si="25"/>
        <v>-11.805555555555557</v>
      </c>
      <c r="AT17" s="69">
        <f t="shared" si="0"/>
        <v>28.346456692913392</v>
      </c>
      <c r="AU17" s="33">
        <f t="shared" si="1"/>
        <v>-26.687116564417181</v>
      </c>
      <c r="AV17" s="33">
        <f t="shared" si="2"/>
        <v>-12.13389121338912</v>
      </c>
      <c r="AW17" s="33">
        <f t="shared" si="3"/>
        <v>-19.047619047619051</v>
      </c>
      <c r="AX17" s="33">
        <f t="shared" si="4"/>
        <v>74.117647058823536</v>
      </c>
      <c r="AY17" s="33">
        <f t="shared" si="5"/>
        <v>47.63513513513513</v>
      </c>
      <c r="AZ17" s="33">
        <f t="shared" si="6"/>
        <v>24.713958810068661</v>
      </c>
      <c r="BA17" s="33">
        <f t="shared" si="7"/>
        <v>-31.192660550458712</v>
      </c>
      <c r="BB17" s="33">
        <f t="shared" si="8"/>
        <v>19.466666666666683</v>
      </c>
      <c r="BC17" s="33">
        <f t="shared" si="9"/>
        <v>-46.875</v>
      </c>
      <c r="BD17" s="33">
        <f t="shared" si="10"/>
        <v>-39.075630252100844</v>
      </c>
      <c r="BE17" s="33" t="e">
        <f>+#REF!/U17*100-100</f>
        <v>#REF!</v>
      </c>
      <c r="BF17" s="33">
        <f t="shared" si="12"/>
        <v>32.8125</v>
      </c>
      <c r="BG17" s="33">
        <f t="shared" si="13"/>
        <v>16.47058823529413</v>
      </c>
      <c r="BH17" s="33">
        <f t="shared" si="14"/>
        <v>15.151515151515156</v>
      </c>
      <c r="BI17" s="33">
        <f t="shared" si="15"/>
        <v>-1.7543859649122879</v>
      </c>
      <c r="BJ17" s="33">
        <f t="shared" si="16"/>
        <v>-25.892857142857139</v>
      </c>
      <c r="BK17" s="33">
        <f t="shared" si="17"/>
        <v>12.048192771084331</v>
      </c>
      <c r="BL17" s="29">
        <f t="shared" si="18"/>
        <v>-6.4516129032258078</v>
      </c>
      <c r="BM17" s="29">
        <f t="shared" si="19"/>
        <v>26.436781609195407</v>
      </c>
      <c r="BN17" s="29">
        <f t="shared" si="20"/>
        <v>-36.363636363636367</v>
      </c>
      <c r="BO17" s="29">
        <f t="shared" si="21"/>
        <v>-15.714285714285708</v>
      </c>
      <c r="BP17" s="29">
        <f t="shared" si="22"/>
        <v>5.0847457627118757</v>
      </c>
      <c r="BQ17" s="29">
        <f t="shared" si="23"/>
        <v>-16.129032258064512</v>
      </c>
      <c r="BR17" s="29">
        <f t="shared" si="26"/>
        <v>-48.076923076923073</v>
      </c>
      <c r="BS17" s="29"/>
      <c r="BT17" s="6"/>
      <c r="BU17" s="11" t="s">
        <v>50</v>
      </c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</row>
    <row r="18" spans="1:95" ht="17.100000000000001" customHeight="1" x14ac:dyDescent="0.25">
      <c r="A18" s="61"/>
      <c r="B18" s="62"/>
      <c r="C18" s="62"/>
      <c r="D18" s="62"/>
      <c r="E18" s="62"/>
      <c r="F18" s="62"/>
      <c r="G18" s="63"/>
      <c r="H18" s="63"/>
      <c r="I18" s="64"/>
      <c r="J18" s="62"/>
      <c r="K18" s="64"/>
      <c r="L18" s="63"/>
      <c r="M18" s="63"/>
      <c r="N18" s="63"/>
      <c r="O18" s="65"/>
      <c r="P18" s="63"/>
      <c r="Q18" s="63"/>
      <c r="R18" s="63"/>
      <c r="S18" s="63"/>
      <c r="T18" s="63"/>
      <c r="U18" s="63"/>
      <c r="V18" s="63"/>
      <c r="W18" s="63"/>
      <c r="X18" s="63"/>
      <c r="Y18" s="76" t="s">
        <v>53</v>
      </c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62"/>
      <c r="AR18" s="62"/>
      <c r="AS18" s="62"/>
      <c r="AT18" s="62"/>
      <c r="AU18" s="62"/>
      <c r="AV18" s="63"/>
      <c r="AW18" s="63"/>
      <c r="AX18" s="62"/>
      <c r="AY18" s="63"/>
      <c r="AZ18" s="63"/>
      <c r="BA18" s="63"/>
      <c r="BB18" s="76" t="s">
        <v>60</v>
      </c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62"/>
      <c r="BU18" s="66"/>
      <c r="CA18" s="14"/>
      <c r="CB18" s="14"/>
      <c r="CC18" s="14"/>
      <c r="CD18" s="14"/>
      <c r="CE18" s="14"/>
      <c r="CF18" s="14"/>
      <c r="CG18" s="14"/>
      <c r="CH18" s="14"/>
      <c r="CJ18" s="14"/>
      <c r="CK18" s="14"/>
      <c r="CL18" s="14"/>
      <c r="CM18" s="14"/>
      <c r="CN18" s="14"/>
      <c r="CO18" s="14"/>
      <c r="CP18" s="14"/>
      <c r="CQ18" s="14"/>
    </row>
    <row r="19" spans="1:95" ht="17.100000000000001" customHeight="1" x14ac:dyDescent="0.25">
      <c r="A19" s="4"/>
      <c r="B19" s="25"/>
      <c r="C19" s="25"/>
      <c r="D19" s="25"/>
      <c r="E19" s="25"/>
      <c r="F19" s="25"/>
      <c r="G19" s="36"/>
      <c r="H19" s="5"/>
      <c r="I19" s="6"/>
      <c r="J19" s="6"/>
      <c r="K19" s="6"/>
      <c r="L19" s="27"/>
      <c r="M19" s="27"/>
      <c r="N19" s="27"/>
      <c r="O19" s="15"/>
      <c r="P19" s="27"/>
      <c r="Q19" s="27"/>
      <c r="R19" s="36"/>
      <c r="S19" s="36"/>
      <c r="T19" s="36"/>
      <c r="U19" s="36"/>
      <c r="V19" s="36"/>
      <c r="W19" s="36"/>
      <c r="X19" s="36"/>
      <c r="Y19" s="75" t="s">
        <v>54</v>
      </c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25"/>
      <c r="AR19" s="25"/>
      <c r="AS19" s="25"/>
      <c r="AT19" s="25"/>
      <c r="AU19" s="25"/>
      <c r="AV19" s="36"/>
      <c r="AW19" s="36"/>
      <c r="AX19" s="25"/>
      <c r="AY19" s="36"/>
      <c r="AZ19" s="36"/>
      <c r="BA19" s="36"/>
      <c r="BB19" s="75" t="s">
        <v>74</v>
      </c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25"/>
      <c r="BU19" s="7"/>
      <c r="CA19" s="14"/>
      <c r="CB19" s="14"/>
      <c r="CD19" s="14"/>
      <c r="CE19" s="22"/>
      <c r="CF19" s="14"/>
      <c r="CG19" s="14"/>
      <c r="CH19" s="14"/>
      <c r="CJ19" s="14"/>
      <c r="CK19" s="14"/>
      <c r="CM19" s="19"/>
      <c r="CN19" s="14"/>
      <c r="CO19" s="14"/>
      <c r="CP19" s="14"/>
      <c r="CQ19" s="14"/>
    </row>
    <row r="20" spans="1:95" ht="17.100000000000001" customHeight="1" x14ac:dyDescent="0.25">
      <c r="A20" s="9"/>
      <c r="B20" s="10" t="s">
        <v>0</v>
      </c>
      <c r="C20" s="10" t="s">
        <v>1</v>
      </c>
      <c r="D20" s="10" t="s">
        <v>2</v>
      </c>
      <c r="E20" s="10" t="s">
        <v>3</v>
      </c>
      <c r="F20" s="10" t="s">
        <v>4</v>
      </c>
      <c r="G20" s="10" t="s">
        <v>5</v>
      </c>
      <c r="H20" s="10" t="s">
        <v>6</v>
      </c>
      <c r="I20" s="10" t="s">
        <v>7</v>
      </c>
      <c r="J20" s="10" t="s">
        <v>8</v>
      </c>
      <c r="K20" s="10" t="s">
        <v>9</v>
      </c>
      <c r="L20" s="10" t="s">
        <v>10</v>
      </c>
      <c r="M20" s="6">
        <v>1994</v>
      </c>
      <c r="N20" s="10" t="s">
        <v>11</v>
      </c>
      <c r="O20" s="10">
        <v>1996</v>
      </c>
      <c r="P20" s="10">
        <v>1997</v>
      </c>
      <c r="Q20" s="10">
        <v>1998</v>
      </c>
      <c r="R20" s="37">
        <v>1999</v>
      </c>
      <c r="S20" s="37">
        <v>2000</v>
      </c>
      <c r="T20" s="26">
        <v>2001</v>
      </c>
      <c r="U20" s="26">
        <v>2002</v>
      </c>
      <c r="V20" s="26"/>
      <c r="W20" s="26">
        <v>2004</v>
      </c>
      <c r="X20" s="26">
        <v>2005</v>
      </c>
      <c r="Y20" s="26">
        <v>2006</v>
      </c>
      <c r="Z20" s="26">
        <v>2007</v>
      </c>
      <c r="AA20" s="26">
        <v>2008</v>
      </c>
      <c r="AB20" s="26">
        <v>2009</v>
      </c>
      <c r="AC20" s="26">
        <v>2010</v>
      </c>
      <c r="AD20" s="26">
        <v>2011</v>
      </c>
      <c r="AE20" s="26">
        <v>2012</v>
      </c>
      <c r="AF20" s="26">
        <v>2013</v>
      </c>
      <c r="AG20" s="26">
        <v>2014</v>
      </c>
      <c r="AH20" s="26">
        <v>2015</v>
      </c>
      <c r="AI20" s="26">
        <v>2016</v>
      </c>
      <c r="AJ20" s="26">
        <v>2017</v>
      </c>
      <c r="AK20" s="26">
        <v>2018</v>
      </c>
      <c r="AL20" s="56"/>
      <c r="AM20" s="26" t="s">
        <v>12</v>
      </c>
      <c r="AN20" s="26" t="s">
        <v>13</v>
      </c>
      <c r="AO20" s="26" t="s">
        <v>14</v>
      </c>
      <c r="AP20" s="26" t="s">
        <v>15</v>
      </c>
      <c r="AQ20" s="26" t="s">
        <v>16</v>
      </c>
      <c r="AR20" s="26" t="s">
        <v>25</v>
      </c>
      <c r="AS20" s="26" t="s">
        <v>18</v>
      </c>
      <c r="AT20" s="26" t="s">
        <v>19</v>
      </c>
      <c r="AU20" s="26" t="s">
        <v>20</v>
      </c>
      <c r="AV20" s="26" t="s">
        <v>21</v>
      </c>
      <c r="AW20" s="26" t="s">
        <v>22</v>
      </c>
      <c r="AX20" s="26" t="s">
        <v>23</v>
      </c>
      <c r="AY20" s="26" t="s">
        <v>24</v>
      </c>
      <c r="AZ20" s="26" t="s">
        <v>26</v>
      </c>
      <c r="BA20" s="26" t="s">
        <v>55</v>
      </c>
      <c r="BB20" s="26" t="s">
        <v>56</v>
      </c>
      <c r="BC20" s="26" t="s">
        <v>57</v>
      </c>
      <c r="BD20" s="38" t="s">
        <v>58</v>
      </c>
      <c r="BE20" s="38" t="s">
        <v>59</v>
      </c>
      <c r="BF20" s="40" t="s">
        <v>61</v>
      </c>
      <c r="BG20" s="40" t="s">
        <v>68</v>
      </c>
      <c r="BH20" s="40" t="s">
        <v>69</v>
      </c>
      <c r="BI20" s="40" t="s">
        <v>70</v>
      </c>
      <c r="BJ20" s="40" t="s">
        <v>71</v>
      </c>
      <c r="BK20" s="40" t="s">
        <v>72</v>
      </c>
      <c r="BL20" s="40" t="s">
        <v>73</v>
      </c>
      <c r="BM20" s="40" t="s">
        <v>75</v>
      </c>
      <c r="BN20" s="40" t="s">
        <v>76</v>
      </c>
      <c r="BO20" s="40" t="s">
        <v>77</v>
      </c>
      <c r="BP20" s="40" t="s">
        <v>78</v>
      </c>
      <c r="BQ20" s="40" t="s">
        <v>79</v>
      </c>
      <c r="BR20" s="40" t="s">
        <v>80</v>
      </c>
      <c r="BS20" s="40" t="s">
        <v>81</v>
      </c>
      <c r="BT20" s="24"/>
      <c r="BU20" s="11"/>
      <c r="CA20" s="12"/>
      <c r="CB20" s="12"/>
      <c r="CC20" s="12"/>
      <c r="CD20" s="12"/>
      <c r="CE20" s="12"/>
      <c r="CF20" s="12"/>
      <c r="CG20" s="14"/>
      <c r="CJ20" s="12"/>
      <c r="CK20" s="12"/>
      <c r="CL20" s="12"/>
      <c r="CM20" s="12"/>
      <c r="CN20" s="12"/>
      <c r="CO20" s="12"/>
      <c r="CP20" s="12"/>
      <c r="CQ20" s="12"/>
    </row>
    <row r="21" spans="1:95" ht="17.100000000000001" customHeight="1" x14ac:dyDescent="0.25">
      <c r="A21" s="4" t="s">
        <v>27</v>
      </c>
      <c r="B21" s="57">
        <f t="shared" ref="B21:P21" si="27">SUM(B6)</f>
        <v>121.197</v>
      </c>
      <c r="C21" s="57">
        <f t="shared" si="27"/>
        <v>83.427999999999997</v>
      </c>
      <c r="D21" s="57">
        <f t="shared" si="27"/>
        <v>151.9</v>
      </c>
      <c r="E21" s="57">
        <f t="shared" si="27"/>
        <v>97.6</v>
      </c>
      <c r="F21" s="67">
        <f t="shared" si="27"/>
        <v>115.2</v>
      </c>
      <c r="G21" s="67">
        <f t="shared" si="27"/>
        <v>96</v>
      </c>
      <c r="H21" s="51">
        <f t="shared" si="27"/>
        <v>190</v>
      </c>
      <c r="I21" s="51">
        <f t="shared" si="27"/>
        <v>187</v>
      </c>
      <c r="J21" s="51">
        <f t="shared" si="27"/>
        <v>222</v>
      </c>
      <c r="K21" s="51">
        <f t="shared" si="27"/>
        <v>207</v>
      </c>
      <c r="L21" s="51">
        <f t="shared" si="27"/>
        <v>219</v>
      </c>
      <c r="M21" s="51">
        <f t="shared" si="27"/>
        <v>157</v>
      </c>
      <c r="N21" s="51">
        <f t="shared" si="27"/>
        <v>229</v>
      </c>
      <c r="O21" s="51">
        <f t="shared" si="27"/>
        <v>427</v>
      </c>
      <c r="P21" s="51">
        <f t="shared" si="27"/>
        <v>271</v>
      </c>
      <c r="Q21" s="51">
        <f t="shared" ref="Q21:V21" si="28">SUM(Q6)</f>
        <v>348</v>
      </c>
      <c r="R21" s="51">
        <f t="shared" si="28"/>
        <v>403</v>
      </c>
      <c r="S21" s="51">
        <f t="shared" si="28"/>
        <v>414</v>
      </c>
      <c r="T21" s="51">
        <f t="shared" si="28"/>
        <v>411</v>
      </c>
      <c r="U21" s="54">
        <f t="shared" si="28"/>
        <v>164</v>
      </c>
      <c r="V21" s="68">
        <f t="shared" si="28"/>
        <v>52</v>
      </c>
      <c r="W21" s="68">
        <f t="shared" ref="W21:AD21" si="29">SUM(W6)</f>
        <v>81</v>
      </c>
      <c r="X21" s="68">
        <f t="shared" si="29"/>
        <v>60</v>
      </c>
      <c r="Y21" s="54">
        <f t="shared" si="29"/>
        <v>77</v>
      </c>
      <c r="Z21" s="54">
        <f t="shared" si="29"/>
        <v>71</v>
      </c>
      <c r="AA21" s="54">
        <f t="shared" si="29"/>
        <v>110</v>
      </c>
      <c r="AB21" s="54">
        <f t="shared" si="29"/>
        <v>71</v>
      </c>
      <c r="AC21" s="54">
        <f t="shared" si="29"/>
        <v>70</v>
      </c>
      <c r="AD21" s="54">
        <f t="shared" si="29"/>
        <v>75</v>
      </c>
      <c r="AE21" s="54">
        <f t="shared" ref="AE21:AJ21" si="30">SUM(AE6)</f>
        <v>57</v>
      </c>
      <c r="AF21" s="54">
        <f t="shared" si="30"/>
        <v>74</v>
      </c>
      <c r="AG21" s="54">
        <f t="shared" si="30"/>
        <v>70</v>
      </c>
      <c r="AH21" s="54">
        <f t="shared" si="30"/>
        <v>44</v>
      </c>
      <c r="AI21" s="54">
        <f t="shared" si="30"/>
        <v>51</v>
      </c>
      <c r="AJ21" s="54">
        <f t="shared" si="30"/>
        <v>44</v>
      </c>
      <c r="AK21" s="54">
        <f t="shared" ref="AK21" si="31">SUM(AK6)</f>
        <v>24</v>
      </c>
      <c r="AL21" s="54"/>
      <c r="AM21" s="54">
        <f t="shared" ref="AM21:BE21" si="32">+AM6</f>
        <v>110</v>
      </c>
      <c r="AN21" s="54">
        <f t="shared" si="32"/>
        <v>110</v>
      </c>
      <c r="AO21" s="54">
        <f t="shared" si="32"/>
        <v>110</v>
      </c>
      <c r="AP21" s="54">
        <f t="shared" si="32"/>
        <v>110</v>
      </c>
      <c r="AQ21" s="54">
        <f t="shared" si="32"/>
        <v>110</v>
      </c>
      <c r="AR21" s="54">
        <f t="shared" si="32"/>
        <v>110</v>
      </c>
      <c r="AS21" s="54">
        <f t="shared" si="32"/>
        <v>110</v>
      </c>
      <c r="AT21" s="54">
        <f t="shared" si="32"/>
        <v>-6.7567567567567579</v>
      </c>
      <c r="AU21" s="54">
        <f t="shared" si="32"/>
        <v>5.7971014492753596</v>
      </c>
      <c r="AV21" s="54">
        <f t="shared" si="32"/>
        <v>-28.310502283105023</v>
      </c>
      <c r="AW21" s="54">
        <f t="shared" si="32"/>
        <v>45.859872611464965</v>
      </c>
      <c r="AX21" s="54">
        <f t="shared" si="32"/>
        <v>86.462882096069876</v>
      </c>
      <c r="AY21" s="54">
        <f t="shared" si="32"/>
        <v>-36.533957845433257</v>
      </c>
      <c r="AZ21" s="54">
        <f t="shared" si="32"/>
        <v>28.413284132841312</v>
      </c>
      <c r="BA21" s="54">
        <f t="shared" si="32"/>
        <v>15.804597701149419</v>
      </c>
      <c r="BB21" s="54">
        <f t="shared" si="32"/>
        <v>2.7295285359801369</v>
      </c>
      <c r="BC21" s="54">
        <f t="shared" si="32"/>
        <v>-0.72463768115942173</v>
      </c>
      <c r="BD21" s="54">
        <f t="shared" si="32"/>
        <v>-60.097323600973233</v>
      </c>
      <c r="BE21" s="54" t="e">
        <f t="shared" si="32"/>
        <v>#REF!</v>
      </c>
      <c r="BF21" s="29">
        <f>+X21/W21*100-100</f>
        <v>-25.925925925925924</v>
      </c>
      <c r="BG21" s="29">
        <f t="shared" ref="BG21:BK32" si="33">+Y21/X21*100-100</f>
        <v>28.333333333333343</v>
      </c>
      <c r="BH21" s="29">
        <f t="shared" si="33"/>
        <v>-7.7922077922077904</v>
      </c>
      <c r="BI21" s="29">
        <f t="shared" si="33"/>
        <v>54.929577464788736</v>
      </c>
      <c r="BJ21" s="29">
        <f t="shared" ref="BJ21:BS21" si="34">+AB21/AA21*100-100</f>
        <v>-35.454545454545453</v>
      </c>
      <c r="BK21" s="29">
        <f t="shared" si="34"/>
        <v>-1.4084507042253449</v>
      </c>
      <c r="BL21" s="29">
        <f t="shared" si="34"/>
        <v>7.1428571428571388</v>
      </c>
      <c r="BM21" s="29">
        <f t="shared" si="34"/>
        <v>-24</v>
      </c>
      <c r="BN21" s="29">
        <f t="shared" si="34"/>
        <v>29.824561403508767</v>
      </c>
      <c r="BO21" s="29">
        <f t="shared" si="34"/>
        <v>-5.4054054054054035</v>
      </c>
      <c r="BP21" s="29">
        <f t="shared" si="34"/>
        <v>-37.142857142857146</v>
      </c>
      <c r="BQ21" s="29">
        <f t="shared" si="34"/>
        <v>15.909090909090921</v>
      </c>
      <c r="BR21" s="29">
        <f t="shared" si="34"/>
        <v>-13.725490196078425</v>
      </c>
      <c r="BS21" s="29">
        <f t="shared" si="34"/>
        <v>-45.45454545454546</v>
      </c>
      <c r="BT21" s="29"/>
      <c r="BU21" s="7" t="s">
        <v>39</v>
      </c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</row>
    <row r="22" spans="1:95" ht="17.100000000000001" customHeight="1" x14ac:dyDescent="0.25">
      <c r="A22" s="21" t="s">
        <v>28</v>
      </c>
      <c r="B22" s="57">
        <f>SUM(B$6:B7)</f>
        <v>226.85500000000002</v>
      </c>
      <c r="C22" s="57">
        <f>SUM(C$6:C7)</f>
        <v>181.92699999999999</v>
      </c>
      <c r="D22" s="57">
        <f>SUM(D$6:D7)</f>
        <v>285.89999999999998</v>
      </c>
      <c r="E22" s="57">
        <f>SUM(E$6:E7)</f>
        <v>197.89999999999998</v>
      </c>
      <c r="F22" s="67">
        <f>SUM(F$6:F7)</f>
        <v>213.9</v>
      </c>
      <c r="G22" s="67">
        <f>SUM(G$6:G7)</f>
        <v>192</v>
      </c>
      <c r="H22" s="51">
        <f>SUM(H$6:H7)</f>
        <v>426</v>
      </c>
      <c r="I22" s="51">
        <f>SUM(I$6:I7)</f>
        <v>400</v>
      </c>
      <c r="J22" s="51">
        <f>SUM(J$6:J7)</f>
        <v>441</v>
      </c>
      <c r="K22" s="51">
        <f>SUM(K$6:K7)</f>
        <v>392</v>
      </c>
      <c r="L22" s="51">
        <f>SUM(L$6:L7)</f>
        <v>427</v>
      </c>
      <c r="M22" s="51">
        <f>SUM(M$6:M7)</f>
        <v>316</v>
      </c>
      <c r="N22" s="51">
        <f>SUM(N$6:N7)</f>
        <v>499</v>
      </c>
      <c r="O22" s="51">
        <f>SUM(O$6:O7)</f>
        <v>698</v>
      </c>
      <c r="P22" s="51">
        <f>SUM(P$6:P7)</f>
        <v>486</v>
      </c>
      <c r="Q22" s="51">
        <f>SUM(Q$6:Q7)</f>
        <v>633</v>
      </c>
      <c r="R22" s="51">
        <f>SUM(R$6:R7)</f>
        <v>804</v>
      </c>
      <c r="S22" s="51">
        <f>SUM(S$6:S7)</f>
        <v>736</v>
      </c>
      <c r="T22" s="51">
        <f>SUM(T$6:T7)</f>
        <v>713</v>
      </c>
      <c r="U22" s="54">
        <f>SUM(U$6:U7)</f>
        <v>332</v>
      </c>
      <c r="V22" s="54">
        <f>SUM(V$6:V7)</f>
        <v>95</v>
      </c>
      <c r="W22" s="54">
        <f>SUM(W$6:W7)</f>
        <v>135</v>
      </c>
      <c r="X22" s="54">
        <f>SUM(X$6:X7)</f>
        <v>118</v>
      </c>
      <c r="Y22" s="54">
        <f>SUM(Y$6:Y7)</f>
        <v>145</v>
      </c>
      <c r="Z22" s="54">
        <f>SUM(Z$6:Z7)</f>
        <v>142</v>
      </c>
      <c r="AA22" s="54">
        <f>SUM(AA$6:AA7)</f>
        <v>220</v>
      </c>
      <c r="AB22" s="54">
        <f>SUM(AB$6:AB7)</f>
        <v>142</v>
      </c>
      <c r="AC22" s="54">
        <f>SUM($AC$6:AC7)</f>
        <v>137</v>
      </c>
      <c r="AD22" s="54">
        <f>SUM($AD$6:AD7)</f>
        <v>145</v>
      </c>
      <c r="AE22" s="54">
        <f>SUM($AE$6:AE7)</f>
        <v>117</v>
      </c>
      <c r="AF22" s="54">
        <f>SUM($AF$6:AF7)</f>
        <v>138</v>
      </c>
      <c r="AG22" s="54">
        <f>SUM($AG$6:AG7)</f>
        <v>129</v>
      </c>
      <c r="AH22" s="54">
        <f>SUM($AH$6:AH7)</f>
        <v>91</v>
      </c>
      <c r="AI22" s="54">
        <f>SUM($AI$6:AI7)</f>
        <v>88</v>
      </c>
      <c r="AJ22" s="54">
        <f>SUM($AJ$6:AJ7)</f>
        <v>79</v>
      </c>
      <c r="AK22" s="54">
        <f>SUM($AK$6:AK7)</f>
        <v>48</v>
      </c>
      <c r="AL22" s="54"/>
      <c r="AM22" s="51">
        <f>SUM(AM$6:AM7)</f>
        <v>220</v>
      </c>
      <c r="AN22" s="51">
        <f>SUM(AN$6:AN7)</f>
        <v>220</v>
      </c>
      <c r="AO22" s="51">
        <f>SUM(AO$6:AO7)</f>
        <v>220</v>
      </c>
      <c r="AP22" s="51">
        <f>SUM(AP$6:AP7)</f>
        <v>220</v>
      </c>
      <c r="AQ22" s="51">
        <f>SUM(AQ$6:AQ7)</f>
        <v>220</v>
      </c>
      <c r="AR22" s="51">
        <f>SUM(AR$6:AR7)</f>
        <v>220</v>
      </c>
      <c r="AS22" s="51">
        <f t="shared" ref="AS22:AS32" si="35">100*J22/I22-100</f>
        <v>10.25</v>
      </c>
      <c r="AT22" s="29">
        <f t="shared" ref="AT22:AT32" si="36">100*K22/J22-100</f>
        <v>-11.111111111111114</v>
      </c>
      <c r="AU22" s="29">
        <f t="shared" ref="AU22:AU32" si="37">100*L22/K22-100</f>
        <v>8.9285714285714306</v>
      </c>
      <c r="AV22" s="29">
        <f t="shared" ref="AV22:AV32" si="38">100*M22/L22-100</f>
        <v>-25.995316159250592</v>
      </c>
      <c r="AW22" s="29">
        <f t="shared" ref="AW22:AW32" si="39">100*N22/M22-100</f>
        <v>57.911392405063282</v>
      </c>
      <c r="AX22" s="29">
        <f t="shared" ref="AX22:AY32" si="40">100*O22/N22-100</f>
        <v>39.879759519038089</v>
      </c>
      <c r="AY22" s="29">
        <f t="shared" si="40"/>
        <v>-30.372492836676216</v>
      </c>
      <c r="AZ22" s="29">
        <f t="shared" ref="AZ22:BB23" si="41">+Q22/P22*100-100</f>
        <v>30.246913580246911</v>
      </c>
      <c r="BA22" s="29">
        <f t="shared" si="41"/>
        <v>27.014218009478668</v>
      </c>
      <c r="BB22" s="29">
        <f t="shared" si="41"/>
        <v>-8.4577114427860636</v>
      </c>
      <c r="BC22" s="29">
        <f t="shared" ref="BC22:BC32" si="42">+T22/S22*100-100</f>
        <v>-3.125</v>
      </c>
      <c r="BD22" s="29">
        <f t="shared" ref="BD22:BD32" si="43">+U22/T22*100-100</f>
        <v>-53.436185133239832</v>
      </c>
      <c r="BE22" s="29">
        <f t="shared" ref="BE22:BE32" si="44">+W22/U22*100-100</f>
        <v>-59.337349397590359</v>
      </c>
      <c r="BF22" s="29">
        <f t="shared" ref="BF22:BF32" si="45">+X22/W22*100-100</f>
        <v>-12.592592592592595</v>
      </c>
      <c r="BG22" s="29">
        <f t="shared" si="33"/>
        <v>22.881355932203391</v>
      </c>
      <c r="BH22" s="29">
        <f t="shared" si="33"/>
        <v>-2.0689655172413808</v>
      </c>
      <c r="BI22" s="29">
        <f t="shared" si="33"/>
        <v>54.929577464788736</v>
      </c>
      <c r="BJ22" s="29">
        <f t="shared" si="33"/>
        <v>-35.454545454545453</v>
      </c>
      <c r="BK22" s="29">
        <f t="shared" si="33"/>
        <v>-3.5211267605633765</v>
      </c>
      <c r="BL22" s="29">
        <f>+AD22/AC22*100-100</f>
        <v>5.8394160583941499</v>
      </c>
      <c r="BM22" s="29">
        <f>+AE22/AD22*100-100</f>
        <v>-19.310344827586206</v>
      </c>
      <c r="BN22" s="29">
        <f t="shared" ref="BN22:BS32" si="46">+AF22/AE22*100-100</f>
        <v>17.948717948717956</v>
      </c>
      <c r="BO22" s="29">
        <f t="shared" si="46"/>
        <v>-6.5217391304347814</v>
      </c>
      <c r="BP22" s="29">
        <f t="shared" si="46"/>
        <v>-29.457364341085267</v>
      </c>
      <c r="BQ22" s="29">
        <f t="shared" si="46"/>
        <v>-3.2967032967032992</v>
      </c>
      <c r="BR22" s="29">
        <f t="shared" si="46"/>
        <v>-10.227272727272734</v>
      </c>
      <c r="BS22" s="29">
        <f t="shared" si="46"/>
        <v>-39.24050632911392</v>
      </c>
      <c r="BT22" s="25"/>
      <c r="BU22" s="7" t="s">
        <v>40</v>
      </c>
      <c r="BZ22" s="19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</row>
    <row r="23" spans="1:95" ht="17.100000000000001" customHeight="1" x14ac:dyDescent="0.25">
      <c r="A23" s="4" t="s">
        <v>29</v>
      </c>
      <c r="B23" s="57">
        <f>SUM(B$6:B8)</f>
        <v>356.14700000000005</v>
      </c>
      <c r="C23" s="57">
        <f>SUM(C$6:C8)</f>
        <v>280.63599999999997</v>
      </c>
      <c r="D23" s="57">
        <f>SUM(D$6:D8)</f>
        <v>408.7</v>
      </c>
      <c r="E23" s="57">
        <f>SUM(E$6:E8)</f>
        <v>289</v>
      </c>
      <c r="F23" s="67">
        <f>SUM(F$6:F8)</f>
        <v>351.20000000000005</v>
      </c>
      <c r="G23" s="67">
        <f>SUM(G$6:G8)</f>
        <v>297</v>
      </c>
      <c r="H23" s="51">
        <f>SUM(H$6:H8)</f>
        <v>616</v>
      </c>
      <c r="I23" s="51">
        <f>SUM(I$6:I8)</f>
        <v>640</v>
      </c>
      <c r="J23" s="51">
        <f>SUM(J$6:J8)</f>
        <v>677</v>
      </c>
      <c r="K23" s="51">
        <f>SUM(K$6:K8)</f>
        <v>570</v>
      </c>
      <c r="L23" s="51">
        <f>SUM(L$6:L8)</f>
        <v>651</v>
      </c>
      <c r="M23" s="51">
        <f>SUM(M$6:M8)</f>
        <v>455</v>
      </c>
      <c r="N23" s="51">
        <f>SUM(N$6:N8)</f>
        <v>761</v>
      </c>
      <c r="O23" s="51">
        <f>SUM(O$6:O8)</f>
        <v>894</v>
      </c>
      <c r="P23" s="51">
        <f>SUM(P$6:P8)</f>
        <v>765</v>
      </c>
      <c r="Q23" s="51">
        <f>SUM(Q$6:Q8)</f>
        <v>1043</v>
      </c>
      <c r="R23" s="51">
        <f>SUM(R$6:R8)</f>
        <v>1169</v>
      </c>
      <c r="S23" s="51">
        <f>SUM(S$6:S8)</f>
        <v>1073</v>
      </c>
      <c r="T23" s="51">
        <f>SUM(T$6:T8)</f>
        <v>914</v>
      </c>
      <c r="U23" s="54">
        <f>SUM(U$6:U8)</f>
        <v>477</v>
      </c>
      <c r="V23" s="54">
        <f>SUM(V$6:V8)</f>
        <v>138</v>
      </c>
      <c r="W23" s="54">
        <f>SUM(W$6:W8)</f>
        <v>193</v>
      </c>
      <c r="X23" s="54">
        <f>SUM(X$6:X8)</f>
        <v>181</v>
      </c>
      <c r="Y23" s="54">
        <f>SUM(Y$6:Y8)</f>
        <v>228</v>
      </c>
      <c r="Z23" s="54">
        <f>SUM(Z$6:Z8)</f>
        <v>228</v>
      </c>
      <c r="AA23" s="54">
        <f>SUM(AA$6:AA8)</f>
        <v>352</v>
      </c>
      <c r="AB23" s="54">
        <f>SUM(AB$6:AB8)</f>
        <v>222</v>
      </c>
      <c r="AC23" s="54">
        <f>SUM($AC$6:AC8)</f>
        <v>211</v>
      </c>
      <c r="AD23" s="54">
        <f>SUM($AD$6:AD8)</f>
        <v>228</v>
      </c>
      <c r="AE23" s="54">
        <f>SUM($AE$6:AE8)</f>
        <v>183</v>
      </c>
      <c r="AF23" s="54">
        <f>SUM($AF$6:AF8)</f>
        <v>197</v>
      </c>
      <c r="AG23" s="54">
        <f>SUM($AG$6:AG8)</f>
        <v>191</v>
      </c>
      <c r="AH23" s="54">
        <f>SUM($AH$6:AH8)</f>
        <v>157</v>
      </c>
      <c r="AI23" s="54">
        <f>SUM($AI$6:AI8)</f>
        <v>126</v>
      </c>
      <c r="AJ23" s="54">
        <f>SUM($AJ$6:AJ8)</f>
        <v>116</v>
      </c>
      <c r="AK23" s="54">
        <f>SUM($AK$6:AK8)</f>
        <v>73</v>
      </c>
      <c r="AL23" s="51"/>
      <c r="AM23" s="51">
        <f>SUM(AM$6:AM8)</f>
        <v>352</v>
      </c>
      <c r="AN23" s="51">
        <f>SUM(AN$6:AN8)</f>
        <v>352</v>
      </c>
      <c r="AO23" s="51">
        <f>SUM(AO$6:AO8)</f>
        <v>352</v>
      </c>
      <c r="AP23" s="51">
        <f>SUM(AP$6:AP8)</f>
        <v>352</v>
      </c>
      <c r="AQ23" s="51">
        <f>SUM(AQ$6:AQ8)</f>
        <v>352</v>
      </c>
      <c r="AR23" s="51">
        <f>SUM(AR$6:AR8)</f>
        <v>352</v>
      </c>
      <c r="AS23" s="51">
        <f t="shared" si="35"/>
        <v>5.78125</v>
      </c>
      <c r="AT23" s="29">
        <f t="shared" si="36"/>
        <v>-15.805022156573116</v>
      </c>
      <c r="AU23" s="29">
        <f t="shared" si="37"/>
        <v>14.21052631578948</v>
      </c>
      <c r="AV23" s="29">
        <f t="shared" si="38"/>
        <v>-30.107526881720432</v>
      </c>
      <c r="AW23" s="29">
        <f t="shared" si="39"/>
        <v>67.252747252747241</v>
      </c>
      <c r="AX23" s="29">
        <f t="shared" si="40"/>
        <v>17.477003942181341</v>
      </c>
      <c r="AY23" s="29">
        <f t="shared" si="40"/>
        <v>-14.429530201342288</v>
      </c>
      <c r="AZ23" s="29">
        <f t="shared" si="41"/>
        <v>36.339869281045765</v>
      </c>
      <c r="BA23" s="29">
        <f t="shared" si="41"/>
        <v>12.080536912751683</v>
      </c>
      <c r="BB23" s="29">
        <f t="shared" si="41"/>
        <v>-8.2121471343028247</v>
      </c>
      <c r="BC23" s="29">
        <f t="shared" si="42"/>
        <v>-14.818266542404473</v>
      </c>
      <c r="BD23" s="29">
        <f t="shared" si="43"/>
        <v>-47.811816192560173</v>
      </c>
      <c r="BE23" s="29">
        <f t="shared" si="44"/>
        <v>-59.538784067085956</v>
      </c>
      <c r="BF23" s="29">
        <f t="shared" si="45"/>
        <v>-6.2176165803108745</v>
      </c>
      <c r="BG23" s="29">
        <f t="shared" si="33"/>
        <v>25.966850828729264</v>
      </c>
      <c r="BH23" s="29">
        <f t="shared" si="33"/>
        <v>0</v>
      </c>
      <c r="BI23" s="29">
        <f t="shared" si="33"/>
        <v>54.385964912280684</v>
      </c>
      <c r="BJ23" s="29">
        <f t="shared" si="33"/>
        <v>-36.93181818181818</v>
      </c>
      <c r="BK23" s="29">
        <f t="shared" si="33"/>
        <v>-4.9549549549549567</v>
      </c>
      <c r="BL23" s="29">
        <f>+AD23/AC23*100-100</f>
        <v>8.056872037914701</v>
      </c>
      <c r="BM23" s="29">
        <f>+AE23/AD23*100-100</f>
        <v>-19.73684210526315</v>
      </c>
      <c r="BN23" s="29">
        <f t="shared" si="46"/>
        <v>7.6502732240437297</v>
      </c>
      <c r="BO23" s="29">
        <f t="shared" si="46"/>
        <v>-3.0456852791878219</v>
      </c>
      <c r="BP23" s="29">
        <f t="shared" si="46"/>
        <v>-17.801047120418843</v>
      </c>
      <c r="BQ23" s="29">
        <f t="shared" si="46"/>
        <v>-19.745222929936304</v>
      </c>
      <c r="BR23" s="29">
        <f t="shared" si="46"/>
        <v>-7.9365079365079367</v>
      </c>
      <c r="BS23" s="29">
        <f t="shared" si="46"/>
        <v>-37.068965517241381</v>
      </c>
      <c r="BT23" s="25"/>
      <c r="BU23" s="7" t="s">
        <v>41</v>
      </c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</row>
    <row r="24" spans="1:95" ht="17.100000000000001" customHeight="1" x14ac:dyDescent="0.25">
      <c r="A24" s="21" t="s">
        <v>30</v>
      </c>
      <c r="B24" s="57">
        <f>SUM(B$6:B9)</f>
        <v>473.21000000000004</v>
      </c>
      <c r="C24" s="57">
        <f>SUM(C$6:C9)</f>
        <v>362.35699999999997</v>
      </c>
      <c r="D24" s="57">
        <f>SUM(D$6:D9)</f>
        <v>531.79999999999995</v>
      </c>
      <c r="E24" s="57">
        <f>SUM(E$6:E9)</f>
        <v>407.7</v>
      </c>
      <c r="F24" s="67">
        <f>SUM(F$6:F9)</f>
        <v>500.6</v>
      </c>
      <c r="G24" s="67">
        <f>SUM(G$6:G9)</f>
        <v>434</v>
      </c>
      <c r="H24" s="51">
        <f>SUM(H$6:H9)</f>
        <v>788</v>
      </c>
      <c r="I24" s="51">
        <f>SUM(I$6:I9)</f>
        <v>864</v>
      </c>
      <c r="J24" s="51">
        <f>SUM(J$6:J9)</f>
        <v>877</v>
      </c>
      <c r="K24" s="51">
        <f>SUM(K$6:K9)</f>
        <v>790</v>
      </c>
      <c r="L24" s="51">
        <f>SUM(L$6:L9)</f>
        <v>873</v>
      </c>
      <c r="M24" s="51">
        <f>SUM(M$6:M9)</f>
        <v>749</v>
      </c>
      <c r="N24" s="51">
        <f>SUM(N$6:N9)</f>
        <v>1002</v>
      </c>
      <c r="O24" s="51">
        <f>SUM(O$6:O9)</f>
        <v>1161</v>
      </c>
      <c r="P24" s="51">
        <f>SUM(P$6:P9)</f>
        <v>999</v>
      </c>
      <c r="Q24" s="51">
        <f>SUM(Q$6:Q9)</f>
        <v>1385</v>
      </c>
      <c r="R24" s="51">
        <f>SUM(R$6:R9)</f>
        <v>1539</v>
      </c>
      <c r="S24" s="51">
        <f>SUM(S$6:S9)</f>
        <v>1446</v>
      </c>
      <c r="T24" s="51">
        <f>SUM(T$6:T9)</f>
        <v>1107</v>
      </c>
      <c r="U24" s="54">
        <f>SUM(U$6:U9)</f>
        <v>625</v>
      </c>
      <c r="V24" s="54">
        <f>SUM(V$6:V9)</f>
        <v>183</v>
      </c>
      <c r="W24" s="54">
        <f>SUM(W$6:W9)</f>
        <v>256</v>
      </c>
      <c r="X24" s="54">
        <f>SUM(X$6:X9)</f>
        <v>240</v>
      </c>
      <c r="Y24" s="54">
        <f>SUM(Y$6:Y9)</f>
        <v>299</v>
      </c>
      <c r="Z24" s="54">
        <f>SUM(Z$6:Z9)</f>
        <v>313</v>
      </c>
      <c r="AA24" s="54">
        <f>SUM(AA$6:AA9)</f>
        <v>468</v>
      </c>
      <c r="AB24" s="54">
        <f>SUM(AB$6:AB9)</f>
        <v>300</v>
      </c>
      <c r="AC24" s="54">
        <f>SUM($AC$6:AC9)</f>
        <v>278</v>
      </c>
      <c r="AD24" s="54">
        <f>SUM($AD$6:AD9)</f>
        <v>308</v>
      </c>
      <c r="AE24" s="54">
        <f>SUM($AE$6:AE9)</f>
        <v>267</v>
      </c>
      <c r="AF24" s="54">
        <f>SUM($AF$6:AF9)</f>
        <v>263</v>
      </c>
      <c r="AG24" s="54">
        <f>SUM($AG$6:AG9)</f>
        <v>274</v>
      </c>
      <c r="AH24" s="54">
        <f>SUM($AH$6:AH9)</f>
        <v>214</v>
      </c>
      <c r="AI24" s="54">
        <f>SUM($AI$6:AI9)</f>
        <v>163</v>
      </c>
      <c r="AJ24" s="54">
        <f>SUM($AJ$6:AJ9)</f>
        <v>150</v>
      </c>
      <c r="AK24" s="54">
        <f>SUM($AK$6:AK9)</f>
        <v>102</v>
      </c>
      <c r="AL24" s="51"/>
      <c r="AM24" s="51">
        <f>SUM(AM$6:AM9)</f>
        <v>468</v>
      </c>
      <c r="AN24" s="51">
        <f>SUM(AN$6:AN9)</f>
        <v>468</v>
      </c>
      <c r="AO24" s="51">
        <f>SUM(AO$6:AO9)</f>
        <v>468</v>
      </c>
      <c r="AP24" s="51">
        <f>SUM(AP$6:AP9)</f>
        <v>468</v>
      </c>
      <c r="AQ24" s="51">
        <f>SUM(AQ$6:AQ9)</f>
        <v>468</v>
      </c>
      <c r="AR24" s="51">
        <f>SUM(AR$6:AR9)</f>
        <v>468</v>
      </c>
      <c r="AS24" s="51">
        <f t="shared" si="35"/>
        <v>1.5046296296296333</v>
      </c>
      <c r="AT24" s="29">
        <f t="shared" si="36"/>
        <v>-9.920182440136827</v>
      </c>
      <c r="AU24" s="29">
        <f t="shared" si="37"/>
        <v>10.506329113924053</v>
      </c>
      <c r="AV24" s="29">
        <f t="shared" si="38"/>
        <v>-14.203894616265757</v>
      </c>
      <c r="AW24" s="29">
        <f t="shared" si="39"/>
        <v>33.778371161548733</v>
      </c>
      <c r="AX24" s="29">
        <f t="shared" si="40"/>
        <v>15.868263473053887</v>
      </c>
      <c r="AY24" s="29">
        <f t="shared" si="40"/>
        <v>-13.95348837209302</v>
      </c>
      <c r="AZ24" s="29">
        <f t="shared" ref="AZ24:BA32" si="47">+Q24/P24*100-100</f>
        <v>38.638638638638639</v>
      </c>
      <c r="BA24" s="29">
        <f t="shared" ref="BA24:BA31" si="48">+R24/Q24*100-100</f>
        <v>11.119133574007222</v>
      </c>
      <c r="BB24" s="29">
        <f t="shared" ref="BB24:BB32" si="49">+S24/R24*100-100</f>
        <v>-6.0428849902534125</v>
      </c>
      <c r="BC24" s="29">
        <f t="shared" si="42"/>
        <v>-23.443983402489636</v>
      </c>
      <c r="BD24" s="29">
        <f t="shared" si="43"/>
        <v>-43.541102077687441</v>
      </c>
      <c r="BE24" s="29">
        <f t="shared" si="44"/>
        <v>-59.04</v>
      </c>
      <c r="BF24" s="29">
        <f t="shared" si="45"/>
        <v>-6.25</v>
      </c>
      <c r="BG24" s="29">
        <f t="shared" si="33"/>
        <v>24.583333333333329</v>
      </c>
      <c r="BH24" s="29">
        <f t="shared" si="33"/>
        <v>4.6822742474916339</v>
      </c>
      <c r="BI24" s="29">
        <f t="shared" si="33"/>
        <v>49.520766773162961</v>
      </c>
      <c r="BJ24" s="29">
        <f t="shared" si="33"/>
        <v>-35.897435897435898</v>
      </c>
      <c r="BK24" s="29">
        <f t="shared" si="33"/>
        <v>-7.3333333333333428</v>
      </c>
      <c r="BL24" s="29">
        <f>+AD24/AC24*100-100</f>
        <v>10.791366906474821</v>
      </c>
      <c r="BM24" s="29">
        <f t="shared" ref="BM24:BN32" si="50">+AE24/AD24*100-100</f>
        <v>-13.311688311688314</v>
      </c>
      <c r="BN24" s="29">
        <f t="shared" si="50"/>
        <v>-1.4981273408239701</v>
      </c>
      <c r="BO24" s="29">
        <f t="shared" si="46"/>
        <v>4.1825095057034218</v>
      </c>
      <c r="BP24" s="29">
        <f t="shared" si="46"/>
        <v>-21.897810218978094</v>
      </c>
      <c r="BQ24" s="29">
        <f t="shared" si="46"/>
        <v>-23.831775700934571</v>
      </c>
      <c r="BR24" s="29">
        <f t="shared" si="46"/>
        <v>-7.9754601226993884</v>
      </c>
      <c r="BS24" s="29">
        <f t="shared" si="46"/>
        <v>-32</v>
      </c>
      <c r="BT24" s="25"/>
      <c r="BU24" s="7" t="s">
        <v>42</v>
      </c>
      <c r="BZ24" s="19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</row>
    <row r="25" spans="1:95" ht="17.100000000000001" customHeight="1" x14ac:dyDescent="0.25">
      <c r="A25" s="4" t="s">
        <v>36</v>
      </c>
      <c r="B25" s="57">
        <f>SUM(B$6:B10)</f>
        <v>580.87800000000004</v>
      </c>
      <c r="C25" s="57">
        <f>SUM(C$6:C10)</f>
        <v>481.51399999999995</v>
      </c>
      <c r="D25" s="57">
        <f>SUM(D$6:D10)</f>
        <v>660.3</v>
      </c>
      <c r="E25" s="57">
        <f>SUM(E$6:E10)</f>
        <v>513.80999999999995</v>
      </c>
      <c r="F25" s="67">
        <f>SUM(F$6:F10)</f>
        <v>672.2</v>
      </c>
      <c r="G25" s="67">
        <f>SUM(G$6:G10)</f>
        <v>592</v>
      </c>
      <c r="H25" s="51">
        <f>SUM(H$6:H10)</f>
        <v>973</v>
      </c>
      <c r="I25" s="51">
        <f>SUM(I$6:I10)</f>
        <v>1136</v>
      </c>
      <c r="J25" s="51">
        <f>SUM(J$6:J10)</f>
        <v>1101</v>
      </c>
      <c r="K25" s="51">
        <f>SUM(K$6:K10)</f>
        <v>965</v>
      </c>
      <c r="L25" s="51">
        <f>SUM(L$6:L10)</f>
        <v>1134</v>
      </c>
      <c r="M25" s="51">
        <f>SUM(M$6:M10)</f>
        <v>1076</v>
      </c>
      <c r="N25" s="51">
        <f>SUM(N$6:N10)</f>
        <v>1275</v>
      </c>
      <c r="O25" s="51">
        <f>SUM(O$6:O10)</f>
        <v>1460</v>
      </c>
      <c r="P25" s="51">
        <f>SUM(P$6:P10)</f>
        <v>1290</v>
      </c>
      <c r="Q25" s="51">
        <f>SUM(Q$6:Q10)</f>
        <v>1809</v>
      </c>
      <c r="R25" s="51">
        <f>SUM(R$6:R10)</f>
        <v>1939</v>
      </c>
      <c r="S25" s="51">
        <f>SUM(S$6:S10)</f>
        <v>1823</v>
      </c>
      <c r="T25" s="51">
        <f>SUM(T$6:T10)</f>
        <v>1308</v>
      </c>
      <c r="U25" s="54">
        <f>SUM(U$6:U10)</f>
        <v>812</v>
      </c>
      <c r="V25" s="54">
        <f>SUM(V$6:V10)</f>
        <v>234</v>
      </c>
      <c r="W25" s="54">
        <f>SUM(W$6:W10)</f>
        <v>320</v>
      </c>
      <c r="X25" s="54">
        <f>SUM(X$6:X10)</f>
        <v>298</v>
      </c>
      <c r="Y25" s="54">
        <f>SUM(Y$6:Y10)</f>
        <v>425</v>
      </c>
      <c r="Z25" s="54">
        <f>SUM(Z$6:Z10)</f>
        <v>394</v>
      </c>
      <c r="AA25" s="54">
        <f>SUM(AA$6:AA10)</f>
        <v>581</v>
      </c>
      <c r="AB25" s="54">
        <f>SUM(AB$6:AB10)</f>
        <v>382</v>
      </c>
      <c r="AC25" s="54">
        <f>SUM($AC$6:AC10)</f>
        <v>348</v>
      </c>
      <c r="AD25" s="54">
        <f>SUM($AD$6:AD10)</f>
        <v>403</v>
      </c>
      <c r="AE25" s="54">
        <f>SUM($AE$6:AE10)</f>
        <v>344</v>
      </c>
      <c r="AF25" s="54">
        <f>SUM($AF$6:AF10)</f>
        <v>332</v>
      </c>
      <c r="AG25" s="54">
        <f>SUM($AG$6:AG10)</f>
        <v>358</v>
      </c>
      <c r="AH25" s="54">
        <f>SUM($AH$6:AH10)</f>
        <v>263</v>
      </c>
      <c r="AI25" s="54">
        <f>SUM($AI$6:AI10)</f>
        <v>208</v>
      </c>
      <c r="AJ25" s="54">
        <f>SUM($AJ$6:AJ10)</f>
        <v>191</v>
      </c>
      <c r="AK25" s="54">
        <f>SUM($AK$6:AK10)</f>
        <v>135</v>
      </c>
      <c r="AL25" s="51"/>
      <c r="AM25" s="51">
        <f>SUM(AM$6:AM10)</f>
        <v>581</v>
      </c>
      <c r="AN25" s="51">
        <f>SUM(AN$6:AN10)</f>
        <v>581</v>
      </c>
      <c r="AO25" s="51">
        <f>SUM(AO$6:AO10)</f>
        <v>581</v>
      </c>
      <c r="AP25" s="51">
        <f>SUM(AP$6:AP10)</f>
        <v>581</v>
      </c>
      <c r="AQ25" s="51">
        <f>SUM(AQ$6:AQ10)</f>
        <v>581</v>
      </c>
      <c r="AR25" s="51">
        <f>SUM(AR$6:AR10)</f>
        <v>581</v>
      </c>
      <c r="AS25" s="51">
        <f t="shared" si="35"/>
        <v>-3.0809859154929597</v>
      </c>
      <c r="AT25" s="29">
        <f t="shared" si="36"/>
        <v>-12.352406902815616</v>
      </c>
      <c r="AU25" s="29">
        <f t="shared" si="37"/>
        <v>17.512953367875653</v>
      </c>
      <c r="AV25" s="29">
        <f t="shared" si="38"/>
        <v>-5.1146384479717852</v>
      </c>
      <c r="AW25" s="29">
        <f t="shared" si="39"/>
        <v>18.494423791821561</v>
      </c>
      <c r="AX25" s="29">
        <f t="shared" si="40"/>
        <v>14.509803921568633</v>
      </c>
      <c r="AY25" s="29">
        <f t="shared" si="40"/>
        <v>-11.643835616438352</v>
      </c>
      <c r="AZ25" s="29">
        <f t="shared" si="47"/>
        <v>40.232558139534888</v>
      </c>
      <c r="BA25" s="29">
        <f t="shared" si="48"/>
        <v>7.186290768380303</v>
      </c>
      <c r="BB25" s="29">
        <f t="shared" si="49"/>
        <v>-5.9824651882413633</v>
      </c>
      <c r="BC25" s="29">
        <f t="shared" si="42"/>
        <v>-28.250137136588037</v>
      </c>
      <c r="BD25" s="29">
        <f t="shared" si="43"/>
        <v>-37.920489296636084</v>
      </c>
      <c r="BE25" s="29">
        <f t="shared" si="44"/>
        <v>-60.591133004926107</v>
      </c>
      <c r="BF25" s="29">
        <f t="shared" si="45"/>
        <v>-6.875</v>
      </c>
      <c r="BG25" s="29">
        <f t="shared" si="33"/>
        <v>42.617449664429529</v>
      </c>
      <c r="BH25" s="29">
        <f t="shared" si="33"/>
        <v>-7.294117647058826</v>
      </c>
      <c r="BI25" s="29">
        <f t="shared" si="33"/>
        <v>47.46192893401016</v>
      </c>
      <c r="BJ25" s="29">
        <f t="shared" si="33"/>
        <v>-34.251290877796905</v>
      </c>
      <c r="BK25" s="29">
        <f t="shared" si="33"/>
        <v>-8.9005235602094217</v>
      </c>
      <c r="BL25" s="29">
        <f>+AD25/AC25*100-100</f>
        <v>15.804597701149419</v>
      </c>
      <c r="BM25" s="29">
        <f t="shared" si="50"/>
        <v>-14.640198511166261</v>
      </c>
      <c r="BN25" s="29">
        <f t="shared" si="50"/>
        <v>-3.4883720930232442</v>
      </c>
      <c r="BO25" s="29">
        <f t="shared" si="46"/>
        <v>7.8313253012048278</v>
      </c>
      <c r="BP25" s="29">
        <f t="shared" si="46"/>
        <v>-26.536312849162016</v>
      </c>
      <c r="BQ25" s="29">
        <f t="shared" si="46"/>
        <v>-20.912547528517109</v>
      </c>
      <c r="BR25" s="29">
        <f t="shared" si="46"/>
        <v>-8.173076923076934</v>
      </c>
      <c r="BS25" s="29">
        <f t="shared" si="46"/>
        <v>-29.319371727748688</v>
      </c>
      <c r="BT25" s="25"/>
      <c r="BU25" s="7" t="s">
        <v>43</v>
      </c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</row>
    <row r="26" spans="1:95" ht="17.100000000000001" customHeight="1" x14ac:dyDescent="0.25">
      <c r="A26" s="21" t="s">
        <v>31</v>
      </c>
      <c r="B26" s="57">
        <f>SUM(B$6:B11)</f>
        <v>690.81400000000008</v>
      </c>
      <c r="C26" s="57">
        <f>SUM(C$6:C11)</f>
        <v>621.31099999999992</v>
      </c>
      <c r="D26" s="57">
        <f>SUM(D$6:D11)</f>
        <v>758.59999999999991</v>
      </c>
      <c r="E26" s="57">
        <f>SUM(E$6:E11)</f>
        <v>635.2299999999999</v>
      </c>
      <c r="F26" s="67">
        <f>SUM(F$6:F11)</f>
        <v>858.30000000000007</v>
      </c>
      <c r="G26" s="67">
        <f>SUM(G$6:G11)</f>
        <v>725</v>
      </c>
      <c r="H26" s="51">
        <f>SUM(H$6:H11)</f>
        <v>1216</v>
      </c>
      <c r="I26" s="51">
        <f>SUM(I$6:I11)</f>
        <v>1418</v>
      </c>
      <c r="J26" s="51">
        <f>SUM(J$6:J11)</f>
        <v>1314</v>
      </c>
      <c r="K26" s="51">
        <f>SUM(K$6:K11)</f>
        <v>1264</v>
      </c>
      <c r="L26" s="51">
        <f>SUM(L$6:L11)</f>
        <v>1387</v>
      </c>
      <c r="M26" s="51">
        <f>SUM(M$6:M11)</f>
        <v>1411</v>
      </c>
      <c r="N26" s="51">
        <f>SUM(N$6:N11)</f>
        <v>1667</v>
      </c>
      <c r="O26" s="51">
        <f>SUM(O$6:O11)</f>
        <v>1703</v>
      </c>
      <c r="P26" s="51">
        <f>SUM(P$6:P11)</f>
        <v>1662</v>
      </c>
      <c r="Q26" s="51">
        <f>SUM(Q$6:Q11)</f>
        <v>2290</v>
      </c>
      <c r="R26" s="51">
        <f>SUM(R$6:R11)</f>
        <v>2361</v>
      </c>
      <c r="S26" s="51">
        <f>SUM(S$6:S11)</f>
        <v>2232</v>
      </c>
      <c r="T26" s="51">
        <f>SUM(T$6:T11)</f>
        <v>1526</v>
      </c>
      <c r="U26" s="54">
        <f>SUM(U$6:U11)</f>
        <v>982</v>
      </c>
      <c r="V26" s="54">
        <f>SUM(V$6:V11)</f>
        <v>289</v>
      </c>
      <c r="W26" s="54">
        <f>SUM(W$6:W11)</f>
        <v>374</v>
      </c>
      <c r="X26" s="54">
        <f>SUM(X$6:X11)</f>
        <v>352</v>
      </c>
      <c r="Y26" s="54">
        <f>SUM(Y$6:Y11)</f>
        <v>510</v>
      </c>
      <c r="Z26" s="54">
        <f>SUM(Z$6:Z11)</f>
        <v>462</v>
      </c>
      <c r="AA26" s="54">
        <f>SUM(AA$6:AA11)</f>
        <v>674</v>
      </c>
      <c r="AB26" s="54">
        <f>SUM(AB$6:AB11)</f>
        <v>453</v>
      </c>
      <c r="AC26" s="54">
        <f>SUM($AC$6:AC11)</f>
        <v>414</v>
      </c>
      <c r="AD26" s="54">
        <f>SUM($AD$6:AD11)</f>
        <v>471</v>
      </c>
      <c r="AE26" s="54">
        <f>SUM($AE$6:AE11)</f>
        <v>403</v>
      </c>
      <c r="AF26" s="54">
        <f>SUM($AF$6:AF11)</f>
        <v>415</v>
      </c>
      <c r="AG26" s="54">
        <f>SUM($AG$6:AG11)</f>
        <v>440</v>
      </c>
      <c r="AH26" s="54">
        <f>SUM($AH$6:AH11)</f>
        <v>334</v>
      </c>
      <c r="AI26" s="54">
        <f>SUM($AI$6:AI11)</f>
        <v>259</v>
      </c>
      <c r="AJ26" s="54">
        <f>SUM($AJ$6:AJ11)</f>
        <v>235</v>
      </c>
      <c r="AK26" s="54">
        <f>SUM($AK$6:AK11)</f>
        <v>167</v>
      </c>
      <c r="AL26" s="51"/>
      <c r="AM26" s="51">
        <f>SUM(AM$6:AM11)</f>
        <v>674</v>
      </c>
      <c r="AN26" s="51">
        <f>SUM(AN$6:AN11)</f>
        <v>674</v>
      </c>
      <c r="AO26" s="51">
        <f>SUM(AO$6:AO11)</f>
        <v>674</v>
      </c>
      <c r="AP26" s="51">
        <f>SUM(AP$6:AP11)</f>
        <v>674</v>
      </c>
      <c r="AQ26" s="51">
        <f>SUM(AQ$6:AQ11)</f>
        <v>674</v>
      </c>
      <c r="AR26" s="51">
        <f>SUM(AR$6:AR11)</f>
        <v>674</v>
      </c>
      <c r="AS26" s="51">
        <f t="shared" si="35"/>
        <v>-7.3342736248236946</v>
      </c>
      <c r="AT26" s="29">
        <f t="shared" si="36"/>
        <v>-3.8051750380517433</v>
      </c>
      <c r="AU26" s="29">
        <f t="shared" si="37"/>
        <v>9.7310126582278542</v>
      </c>
      <c r="AV26" s="29">
        <f t="shared" si="38"/>
        <v>1.7303532804614292</v>
      </c>
      <c r="AW26" s="29">
        <f t="shared" si="39"/>
        <v>18.143160878809354</v>
      </c>
      <c r="AX26" s="29">
        <f t="shared" si="40"/>
        <v>2.1595680863827198</v>
      </c>
      <c r="AY26" s="29">
        <f t="shared" si="40"/>
        <v>-2.4075161479741638</v>
      </c>
      <c r="AZ26" s="29">
        <f t="shared" si="47"/>
        <v>37.785800240673893</v>
      </c>
      <c r="BA26" s="29">
        <f t="shared" si="48"/>
        <v>3.1004366812227033</v>
      </c>
      <c r="BB26" s="29">
        <f t="shared" si="49"/>
        <v>-5.4637865311308786</v>
      </c>
      <c r="BC26" s="29">
        <f t="shared" si="42"/>
        <v>-31.630824372759861</v>
      </c>
      <c r="BD26" s="29">
        <f t="shared" si="43"/>
        <v>-35.64875491480997</v>
      </c>
      <c r="BE26" s="29">
        <f t="shared" si="44"/>
        <v>-61.914460285132385</v>
      </c>
      <c r="BF26" s="29">
        <f t="shared" si="45"/>
        <v>-5.8823529411764781</v>
      </c>
      <c r="BG26" s="29">
        <f t="shared" si="33"/>
        <v>44.886363636363654</v>
      </c>
      <c r="BH26" s="29">
        <f t="shared" si="33"/>
        <v>-9.4117647058823479</v>
      </c>
      <c r="BI26" s="29">
        <f t="shared" si="33"/>
        <v>45.887445887445892</v>
      </c>
      <c r="BJ26" s="29">
        <f t="shared" si="33"/>
        <v>-32.789317507418403</v>
      </c>
      <c r="BK26" s="29">
        <f t="shared" si="33"/>
        <v>-8.6092715231788048</v>
      </c>
      <c r="BL26" s="29">
        <f t="shared" ref="BL26:BM32" si="51">+AD26/AC26*100-100</f>
        <v>13.768115942028984</v>
      </c>
      <c r="BM26" s="29">
        <f t="shared" si="50"/>
        <v>-14.437367303609335</v>
      </c>
      <c r="BN26" s="29">
        <f t="shared" si="50"/>
        <v>2.9776674937965311</v>
      </c>
      <c r="BO26" s="29">
        <f t="shared" si="46"/>
        <v>6.0240963855421796</v>
      </c>
      <c r="BP26" s="29">
        <f t="shared" si="46"/>
        <v>-24.090909090909093</v>
      </c>
      <c r="BQ26" s="29">
        <f t="shared" si="46"/>
        <v>-22.455089820359291</v>
      </c>
      <c r="BR26" s="29">
        <f t="shared" si="46"/>
        <v>-9.2664092664092692</v>
      </c>
      <c r="BS26" s="29">
        <f t="shared" si="46"/>
        <v>-28.936170212765958</v>
      </c>
      <c r="BT26" s="25"/>
      <c r="BU26" s="7" t="s">
        <v>44</v>
      </c>
      <c r="BZ26" s="19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</row>
    <row r="27" spans="1:95" ht="17.100000000000001" customHeight="1" x14ac:dyDescent="0.25">
      <c r="A27" s="4" t="s">
        <v>32</v>
      </c>
      <c r="B27" s="57">
        <f>SUM(B$6:B12)</f>
        <v>854.80500000000006</v>
      </c>
      <c r="C27" s="57">
        <f>SUM(C$6:C12)</f>
        <v>855.07399999999996</v>
      </c>
      <c r="D27" s="57">
        <f>SUM(D$6:D12)</f>
        <v>974.59999999999991</v>
      </c>
      <c r="E27" s="57">
        <f>SUM(E$6:E12)</f>
        <v>851.82999999999993</v>
      </c>
      <c r="F27" s="67">
        <f>SUM(F$6:F12)</f>
        <v>1089.7</v>
      </c>
      <c r="G27" s="67">
        <f>SUM(G$6:G12)</f>
        <v>897</v>
      </c>
      <c r="H27" s="51">
        <f>SUM(H$6:H12)</f>
        <v>1535</v>
      </c>
      <c r="I27" s="51">
        <f>SUM(I$6:I12)</f>
        <v>1752</v>
      </c>
      <c r="J27" s="51">
        <f>SUM(J$6:J12)</f>
        <v>1620</v>
      </c>
      <c r="K27" s="51">
        <f>SUM(K$6:K12)</f>
        <v>1533</v>
      </c>
      <c r="L27" s="51">
        <f>SUM(L$6:L12)</f>
        <v>1713</v>
      </c>
      <c r="M27" s="51">
        <f>SUM(M$6:M12)</f>
        <v>1669</v>
      </c>
      <c r="N27" s="51">
        <f>SUM(N$6:N12)</f>
        <v>2055</v>
      </c>
      <c r="O27" s="51">
        <f>SUM(O$6:O12)</f>
        <v>2078</v>
      </c>
      <c r="P27" s="51">
        <f>SUM(P$6:P12)</f>
        <v>2119</v>
      </c>
      <c r="Q27" s="51">
        <f>SUM(Q$6:Q12)</f>
        <v>2726</v>
      </c>
      <c r="R27" s="51">
        <f>SUM(R$6:R12)</f>
        <v>2806</v>
      </c>
      <c r="S27" s="51">
        <f>SUM(S$6:S12)</f>
        <v>2649</v>
      </c>
      <c r="T27" s="51">
        <f>SUM(T$6:T12)</f>
        <v>1720</v>
      </c>
      <c r="U27" s="54">
        <f>SUM(U$6:U12)</f>
        <v>1186</v>
      </c>
      <c r="V27" s="54">
        <f>SUM(V$6:V12)</f>
        <v>361</v>
      </c>
      <c r="W27" s="54">
        <f>SUM(W$6:W12)</f>
        <v>444</v>
      </c>
      <c r="X27" s="54">
        <f>SUM(X$6:X12)</f>
        <v>430</v>
      </c>
      <c r="Y27" s="54">
        <f>SUM(Y$6:Y12)</f>
        <v>601</v>
      </c>
      <c r="Z27" s="54">
        <f>SUM(Z$6:Z12)</f>
        <v>589</v>
      </c>
      <c r="AA27" s="54">
        <f>SUM(AA$6:AA12)</f>
        <v>826</v>
      </c>
      <c r="AB27" s="54">
        <f>SUM(AB$6:AB12)</f>
        <v>540</v>
      </c>
      <c r="AC27" s="54">
        <f>SUM($AC$6:AC12)</f>
        <v>502</v>
      </c>
      <c r="AD27" s="54">
        <f>SUM($AD$6:AD12)</f>
        <v>576</v>
      </c>
      <c r="AE27" s="54">
        <f>SUM($AE$6:AE12)</f>
        <v>490</v>
      </c>
      <c r="AF27" s="54">
        <f>SUM($AF$6:AF12)</f>
        <v>499</v>
      </c>
      <c r="AG27" s="54">
        <f>SUM($AG$6:AG12)</f>
        <v>513</v>
      </c>
      <c r="AH27" s="54">
        <f>SUM($AH$6:AH12)</f>
        <v>413</v>
      </c>
      <c r="AI27" s="54">
        <f>SUM($AI$6:AI12)</f>
        <v>304</v>
      </c>
      <c r="AJ27" s="54">
        <f>SUM($AJ$6:AJ12)</f>
        <v>268</v>
      </c>
      <c r="AK27" s="54">
        <f>SUM($AK$6:AK12)</f>
        <v>194</v>
      </c>
      <c r="AL27" s="51"/>
      <c r="AM27" s="60">
        <f t="shared" ref="AM27:AR32" si="52">100*D27/C27-100</f>
        <v>13.978439292973462</v>
      </c>
      <c r="AN27" s="60">
        <f t="shared" si="52"/>
        <v>-12.59696285655653</v>
      </c>
      <c r="AO27" s="60">
        <f t="shared" si="52"/>
        <v>27.924585891551146</v>
      </c>
      <c r="AP27" s="60">
        <f t="shared" si="52"/>
        <v>-17.683766174176384</v>
      </c>
      <c r="AQ27" s="60">
        <f t="shared" si="52"/>
        <v>71.12597547380156</v>
      </c>
      <c r="AR27" s="60">
        <f t="shared" si="52"/>
        <v>14.13680781758957</v>
      </c>
      <c r="AS27" s="60">
        <f t="shared" si="35"/>
        <v>-7.5342465753424648</v>
      </c>
      <c r="AT27" s="29">
        <f t="shared" si="36"/>
        <v>-5.3703703703703667</v>
      </c>
      <c r="AU27" s="29">
        <f t="shared" si="37"/>
        <v>11.74168297455968</v>
      </c>
      <c r="AV27" s="29">
        <f t="shared" si="38"/>
        <v>-2.5685931115002916</v>
      </c>
      <c r="AW27" s="29">
        <f t="shared" si="39"/>
        <v>23.127621330137814</v>
      </c>
      <c r="AX27" s="29">
        <f t="shared" si="40"/>
        <v>1.1192214111922141</v>
      </c>
      <c r="AY27" s="29">
        <f t="shared" si="40"/>
        <v>1.9730510105870991</v>
      </c>
      <c r="AZ27" s="29">
        <f t="shared" si="47"/>
        <v>28.645587541293082</v>
      </c>
      <c r="BA27" s="29">
        <f t="shared" si="48"/>
        <v>2.9347028613352819</v>
      </c>
      <c r="BB27" s="29">
        <f t="shared" si="49"/>
        <v>-5.5951532430506035</v>
      </c>
      <c r="BC27" s="29">
        <f t="shared" si="42"/>
        <v>-35.069837674594183</v>
      </c>
      <c r="BD27" s="29">
        <f t="shared" si="43"/>
        <v>-31.04651162790698</v>
      </c>
      <c r="BE27" s="29">
        <f t="shared" si="44"/>
        <v>-62.563237774030355</v>
      </c>
      <c r="BF27" s="29">
        <f t="shared" si="45"/>
        <v>-3.1531531531531556</v>
      </c>
      <c r="BG27" s="29">
        <f t="shared" si="33"/>
        <v>39.767441860465112</v>
      </c>
      <c r="BH27" s="29">
        <f t="shared" si="33"/>
        <v>-1.9966722129783676</v>
      </c>
      <c r="BI27" s="29">
        <f t="shared" si="33"/>
        <v>40.237691001697783</v>
      </c>
      <c r="BJ27" s="29">
        <f t="shared" si="33"/>
        <v>-34.624697336561738</v>
      </c>
      <c r="BK27" s="29">
        <f t="shared" si="33"/>
        <v>-7.0370370370370381</v>
      </c>
      <c r="BL27" s="29">
        <f t="shared" si="51"/>
        <v>14.741035856573717</v>
      </c>
      <c r="BM27" s="29">
        <f t="shared" si="51"/>
        <v>-14.930555555555557</v>
      </c>
      <c r="BN27" s="29">
        <f t="shared" si="50"/>
        <v>1.8367346938775455</v>
      </c>
      <c r="BO27" s="29">
        <f t="shared" si="46"/>
        <v>2.8056112224448952</v>
      </c>
      <c r="BP27" s="29">
        <f t="shared" si="46"/>
        <v>-19.49317738791423</v>
      </c>
      <c r="BQ27" s="29">
        <f t="shared" si="46"/>
        <v>-26.392251815980629</v>
      </c>
      <c r="BR27" s="29">
        <f t="shared" si="46"/>
        <v>-11.842105263157904</v>
      </c>
      <c r="BS27" s="29">
        <f t="shared" si="46"/>
        <v>-27.611940298507463</v>
      </c>
      <c r="BT27" s="25"/>
      <c r="BU27" s="7" t="s">
        <v>45</v>
      </c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</row>
    <row r="28" spans="1:95" ht="17.100000000000001" customHeight="1" x14ac:dyDescent="0.25">
      <c r="A28" s="21" t="s">
        <v>33</v>
      </c>
      <c r="B28" s="57">
        <f>SUM(B$6:B13)</f>
        <v>1046.3910000000001</v>
      </c>
      <c r="C28" s="57">
        <f>SUM(C$6:C13)</f>
        <v>1097.3979999999999</v>
      </c>
      <c r="D28" s="57">
        <f>SUM(D$6:D13)</f>
        <v>1157.3999999999999</v>
      </c>
      <c r="E28" s="57">
        <f>SUM(E$6:E13)</f>
        <v>1044.23</v>
      </c>
      <c r="F28" s="67">
        <f>SUM(F$6:F13)</f>
        <v>1328</v>
      </c>
      <c r="G28" s="67">
        <f>SUM(G$6:G13)</f>
        <v>1122</v>
      </c>
      <c r="H28" s="51">
        <f>SUM(H$6:H13)</f>
        <v>1959</v>
      </c>
      <c r="I28" s="51">
        <f>SUM(I$6:I13)</f>
        <v>2115</v>
      </c>
      <c r="J28" s="51">
        <f>SUM(J$6:J13)</f>
        <v>1924</v>
      </c>
      <c r="K28" s="51">
        <f>SUM(K$6:K13)</f>
        <v>1851</v>
      </c>
      <c r="L28" s="51">
        <f>SUM(L$6:L13)</f>
        <v>2020</v>
      </c>
      <c r="M28" s="51">
        <f>SUM(M$6:M13)</f>
        <v>1915</v>
      </c>
      <c r="N28" s="51">
        <f>SUM(N$6:N13)</f>
        <v>2385</v>
      </c>
      <c r="O28" s="51">
        <f>SUM(O$6:O13)</f>
        <v>2400</v>
      </c>
      <c r="P28" s="51">
        <f>SUM(P$6:P13)</f>
        <v>2576</v>
      </c>
      <c r="Q28" s="51">
        <f>SUM(Q$6:Q13)</f>
        <v>3190</v>
      </c>
      <c r="R28" s="51">
        <f>SUM(R$6:R13)</f>
        <v>3235</v>
      </c>
      <c r="S28" s="51">
        <f>SUM(S$6:S13)</f>
        <v>3028</v>
      </c>
      <c r="T28" s="51">
        <f>SUM(T$6:T13)</f>
        <v>1919</v>
      </c>
      <c r="U28" s="54">
        <f>SUM(U$6:U13)</f>
        <v>1362</v>
      </c>
      <c r="V28" s="54">
        <f>SUM(V$6:V13)</f>
        <v>440</v>
      </c>
      <c r="W28" s="54">
        <f>SUM(W$6:W13)</f>
        <v>527</v>
      </c>
      <c r="X28" s="54">
        <f>SUM(X$6:X13)</f>
        <v>515</v>
      </c>
      <c r="Y28" s="54">
        <f>SUM(Y$6:Y13)</f>
        <v>711</v>
      </c>
      <c r="Z28" s="54">
        <f>SUM(Z$6:Z13)</f>
        <v>727</v>
      </c>
      <c r="AA28" s="54">
        <f>SUM(AA$6:AA13)</f>
        <v>938</v>
      </c>
      <c r="AB28" s="54">
        <f>SUM(AB$6:AB13)</f>
        <v>648</v>
      </c>
      <c r="AC28" s="54">
        <f>SUM($AC$6:AC13)</f>
        <v>595</v>
      </c>
      <c r="AD28" s="54">
        <f>SUM($AD$6:AD13)</f>
        <v>685</v>
      </c>
      <c r="AE28" s="54">
        <f>SUM($AE$6:AE13)</f>
        <v>587</v>
      </c>
      <c r="AF28" s="54">
        <f>SUM($AF$6:AF13)</f>
        <v>586</v>
      </c>
      <c r="AG28" s="54">
        <f>SUM($AG$6:AG13)</f>
        <v>587</v>
      </c>
      <c r="AH28" s="54">
        <f>SUM($AH$6:AH13)</f>
        <v>484</v>
      </c>
      <c r="AI28" s="54">
        <f>SUM($AI$6:AI13)</f>
        <v>365</v>
      </c>
      <c r="AJ28" s="54">
        <f>SUM($AJ$6:AJ13)</f>
        <v>296</v>
      </c>
      <c r="AK28" s="54">
        <f>SUM($AK$6:AK13)</f>
        <v>236</v>
      </c>
      <c r="AL28" s="51"/>
      <c r="AM28" s="60">
        <f t="shared" si="52"/>
        <v>5.4676607757622975</v>
      </c>
      <c r="AN28" s="60">
        <f t="shared" si="52"/>
        <v>-9.77795057888369</v>
      </c>
      <c r="AO28" s="60">
        <f t="shared" si="52"/>
        <v>27.175047642760688</v>
      </c>
      <c r="AP28" s="60">
        <f t="shared" si="52"/>
        <v>-15.51204819277109</v>
      </c>
      <c r="AQ28" s="60">
        <f t="shared" si="52"/>
        <v>74.598930481283418</v>
      </c>
      <c r="AR28" s="60">
        <f t="shared" si="52"/>
        <v>7.9632465543644742</v>
      </c>
      <c r="AS28" s="60">
        <f t="shared" si="35"/>
        <v>-9.0307328605200894</v>
      </c>
      <c r="AT28" s="29">
        <f t="shared" si="36"/>
        <v>-3.7941787941787908</v>
      </c>
      <c r="AU28" s="29">
        <f t="shared" si="37"/>
        <v>9.1301998919502978</v>
      </c>
      <c r="AV28" s="29">
        <f t="shared" si="38"/>
        <v>-5.1980198019801946</v>
      </c>
      <c r="AW28" s="29">
        <f t="shared" si="39"/>
        <v>24.543080939947785</v>
      </c>
      <c r="AX28" s="29">
        <f t="shared" si="40"/>
        <v>0.62893081761006897</v>
      </c>
      <c r="AY28" s="29">
        <f t="shared" si="40"/>
        <v>7.3333333333333286</v>
      </c>
      <c r="AZ28" s="29">
        <f t="shared" si="47"/>
        <v>23.835403726708066</v>
      </c>
      <c r="BA28" s="29">
        <f t="shared" si="48"/>
        <v>1.4106583072100278</v>
      </c>
      <c r="BB28" s="29">
        <f t="shared" si="49"/>
        <v>-6.3987635239567169</v>
      </c>
      <c r="BC28" s="29">
        <f t="shared" si="42"/>
        <v>-36.624834874504621</v>
      </c>
      <c r="BD28" s="29">
        <f t="shared" si="43"/>
        <v>-29.025534132360605</v>
      </c>
      <c r="BE28" s="29">
        <f t="shared" si="44"/>
        <v>-61.306901615271656</v>
      </c>
      <c r="BF28" s="29">
        <f t="shared" si="45"/>
        <v>-2.2770398481973473</v>
      </c>
      <c r="BG28" s="29">
        <f t="shared" si="33"/>
        <v>38.05825242718447</v>
      </c>
      <c r="BH28" s="29">
        <f t="shared" si="33"/>
        <v>2.2503516174402307</v>
      </c>
      <c r="BI28" s="29">
        <f t="shared" si="33"/>
        <v>29.023383768913334</v>
      </c>
      <c r="BJ28" s="29">
        <f t="shared" si="33"/>
        <v>-30.916844349680176</v>
      </c>
      <c r="BK28" s="29">
        <f t="shared" si="33"/>
        <v>-8.1790123456790127</v>
      </c>
      <c r="BL28" s="29">
        <f t="shared" si="51"/>
        <v>15.126050420168056</v>
      </c>
      <c r="BM28" s="29">
        <f t="shared" si="51"/>
        <v>-14.306569343065689</v>
      </c>
      <c r="BN28" s="29">
        <f t="shared" si="50"/>
        <v>-0.17035775127767749</v>
      </c>
      <c r="BO28" s="29">
        <f t="shared" si="46"/>
        <v>0.1706484641638184</v>
      </c>
      <c r="BP28" s="29">
        <f t="shared" si="46"/>
        <v>-17.546848381601365</v>
      </c>
      <c r="BQ28" s="29">
        <f t="shared" si="46"/>
        <v>-24.586776859504127</v>
      </c>
      <c r="BR28" s="29">
        <f t="shared" si="46"/>
        <v>-18.904109589041099</v>
      </c>
      <c r="BS28" s="29">
        <f t="shared" si="46"/>
        <v>-20.270270270270274</v>
      </c>
      <c r="BT28" s="25"/>
      <c r="BU28" s="7" t="s">
        <v>46</v>
      </c>
      <c r="BZ28" s="19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</row>
    <row r="29" spans="1:95" ht="17.100000000000001" customHeight="1" x14ac:dyDescent="0.25">
      <c r="A29" s="4" t="s">
        <v>34</v>
      </c>
      <c r="B29" s="57">
        <f>SUM(B$6:B14)</f>
        <v>1186.066</v>
      </c>
      <c r="C29" s="57">
        <f>SUM(C$6:C14)</f>
        <v>1270.298</v>
      </c>
      <c r="D29" s="57">
        <f>SUM(D$6:D14)</f>
        <v>1340.8999999999999</v>
      </c>
      <c r="E29" s="57">
        <f>SUM(E$6:E14)</f>
        <v>1227.93</v>
      </c>
      <c r="F29" s="67">
        <f>SUM(F$6:F14)</f>
        <v>1552.7</v>
      </c>
      <c r="G29" s="67">
        <f>SUM(G$6:G14)</f>
        <v>1294</v>
      </c>
      <c r="H29" s="51">
        <f>SUM(H$6:H14)</f>
        <v>2333</v>
      </c>
      <c r="I29" s="51">
        <f>SUM(I$6:I14)</f>
        <v>2474</v>
      </c>
      <c r="J29" s="51">
        <f>SUM(J$6:J14)</f>
        <v>2182</v>
      </c>
      <c r="K29" s="51">
        <f>SUM(K$6:K14)</f>
        <v>2164</v>
      </c>
      <c r="L29" s="51">
        <f>SUM(L$6:L14)</f>
        <v>2289</v>
      </c>
      <c r="M29" s="51">
        <f>SUM(M$6:M14)</f>
        <v>2116</v>
      </c>
      <c r="N29" s="51">
        <f>SUM(N$6:N14)</f>
        <v>2696</v>
      </c>
      <c r="O29" s="51">
        <f>SUM(O$6:O14)</f>
        <v>2770</v>
      </c>
      <c r="P29" s="51">
        <f>SUM(P$6:P14)</f>
        <v>3087</v>
      </c>
      <c r="Q29" s="51">
        <f>SUM(Q$6:Q14)</f>
        <v>3764</v>
      </c>
      <c r="R29" s="51">
        <f>SUM(R$6:R14)</f>
        <v>3562</v>
      </c>
      <c r="S29" s="51">
        <f>SUM(S$6:S14)</f>
        <v>3355</v>
      </c>
      <c r="T29" s="51">
        <f>SUM(T$6:T14)</f>
        <v>2137</v>
      </c>
      <c r="U29" s="54">
        <f>SUM(U$6:U14)</f>
        <v>1521</v>
      </c>
      <c r="V29" s="54">
        <f>SUM(V$6:V14)</f>
        <v>524</v>
      </c>
      <c r="W29" s="54">
        <f>SUM(W$6:W14)</f>
        <v>611</v>
      </c>
      <c r="X29" s="54">
        <f>SUM(X$6:X14)</f>
        <v>599</v>
      </c>
      <c r="Y29" s="54">
        <f>SUM(Y$6:Y14)</f>
        <v>819</v>
      </c>
      <c r="Z29" s="54">
        <f>SUM(Z$6:Z14)</f>
        <v>849</v>
      </c>
      <c r="AA29" s="54">
        <f>SUM(AA$6:AA14)</f>
        <v>1068</v>
      </c>
      <c r="AB29" s="54">
        <f>SUM(AB$6:AB14)</f>
        <v>750</v>
      </c>
      <c r="AC29" s="54">
        <f>SUM($AC$6:AC14)</f>
        <v>693</v>
      </c>
      <c r="AD29" s="54">
        <f>SUM($AD$6:AD14)</f>
        <v>790</v>
      </c>
      <c r="AE29" s="54">
        <f>SUM($AE$6:AE14)</f>
        <v>684</v>
      </c>
      <c r="AF29" s="54">
        <f>SUM($AF$6:AF14)</f>
        <v>674</v>
      </c>
      <c r="AG29" s="54">
        <f>SUM($AG$6:AG14)</f>
        <v>680</v>
      </c>
      <c r="AH29" s="54">
        <f>SUM($AH$6:AH14)</f>
        <v>555</v>
      </c>
      <c r="AI29" s="54">
        <f>SUM($AI$6:AI14)</f>
        <v>422</v>
      </c>
      <c r="AJ29" s="54">
        <f>SUM($AJ$6:AJ14)</f>
        <v>328</v>
      </c>
      <c r="AK29" s="54">
        <f>SUM($AK$6:AK14)</f>
        <v>268</v>
      </c>
      <c r="AL29" s="51"/>
      <c r="AM29" s="60">
        <f t="shared" si="52"/>
        <v>5.5579084592749126</v>
      </c>
      <c r="AN29" s="60">
        <f t="shared" si="52"/>
        <v>-8.4249384741591342</v>
      </c>
      <c r="AO29" s="60">
        <f t="shared" si="52"/>
        <v>26.448576058895853</v>
      </c>
      <c r="AP29" s="60">
        <f t="shared" si="52"/>
        <v>-16.661299671539908</v>
      </c>
      <c r="AQ29" s="60">
        <f t="shared" si="52"/>
        <v>80.29366306027822</v>
      </c>
      <c r="AR29" s="60">
        <f t="shared" si="52"/>
        <v>6.0437205315045048</v>
      </c>
      <c r="AS29" s="60">
        <f t="shared" si="35"/>
        <v>-11.802748585286992</v>
      </c>
      <c r="AT29" s="29">
        <f t="shared" si="36"/>
        <v>-0.82493125572868564</v>
      </c>
      <c r="AU29" s="29">
        <f t="shared" si="37"/>
        <v>5.7763401109057355</v>
      </c>
      <c r="AV29" s="29">
        <f t="shared" si="38"/>
        <v>-7.5578855395369118</v>
      </c>
      <c r="AW29" s="29">
        <f t="shared" si="39"/>
        <v>27.41020793950851</v>
      </c>
      <c r="AX29" s="29">
        <f t="shared" si="40"/>
        <v>2.7448071216617222</v>
      </c>
      <c r="AY29" s="29">
        <f t="shared" si="40"/>
        <v>11.444043321299645</v>
      </c>
      <c r="AZ29" s="29">
        <f t="shared" si="47"/>
        <v>21.930677032717853</v>
      </c>
      <c r="BA29" s="29">
        <f t="shared" si="48"/>
        <v>-5.3666312433581282</v>
      </c>
      <c r="BB29" s="29">
        <f t="shared" si="49"/>
        <v>-5.8113419427288022</v>
      </c>
      <c r="BC29" s="29">
        <f t="shared" si="42"/>
        <v>-36.30402384500745</v>
      </c>
      <c r="BD29" s="29">
        <f t="shared" si="43"/>
        <v>-28.825456247075337</v>
      </c>
      <c r="BE29" s="29">
        <f t="shared" si="44"/>
        <v>-59.82905982905983</v>
      </c>
      <c r="BF29" s="29">
        <f t="shared" si="45"/>
        <v>-1.963993453355144</v>
      </c>
      <c r="BG29" s="29">
        <f t="shared" si="33"/>
        <v>36.727879799666113</v>
      </c>
      <c r="BH29" s="29">
        <f t="shared" si="33"/>
        <v>3.6630036630036784</v>
      </c>
      <c r="BI29" s="29">
        <f t="shared" si="33"/>
        <v>25.795053003533582</v>
      </c>
      <c r="BJ29" s="29">
        <f t="shared" si="33"/>
        <v>-29.775280898876403</v>
      </c>
      <c r="BK29" s="29">
        <f t="shared" si="33"/>
        <v>-7.5999999999999943</v>
      </c>
      <c r="BL29" s="29">
        <f t="shared" si="51"/>
        <v>13.997113997114013</v>
      </c>
      <c r="BM29" s="29">
        <f t="shared" si="51"/>
        <v>-13.417721518987349</v>
      </c>
      <c r="BN29" s="29">
        <f t="shared" si="50"/>
        <v>-1.4619883040935662</v>
      </c>
      <c r="BO29" s="29">
        <f t="shared" si="46"/>
        <v>0.8902077151335277</v>
      </c>
      <c r="BP29" s="29">
        <f t="shared" si="46"/>
        <v>-18.382352941176478</v>
      </c>
      <c r="BQ29" s="29">
        <f t="shared" si="46"/>
        <v>-23.963963963963963</v>
      </c>
      <c r="BR29" s="29">
        <f t="shared" si="46"/>
        <v>-22.274881516587669</v>
      </c>
      <c r="BS29" s="29">
        <f t="shared" si="46"/>
        <v>-18.292682926829272</v>
      </c>
      <c r="BT29" s="25"/>
      <c r="BU29" s="7" t="s">
        <v>47</v>
      </c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</row>
    <row r="30" spans="1:95" ht="17.100000000000001" customHeight="1" x14ac:dyDescent="0.25">
      <c r="A30" s="21" t="s">
        <v>35</v>
      </c>
      <c r="B30" s="57">
        <f>SUM(B$6:B15)</f>
        <v>1326.3310000000001</v>
      </c>
      <c r="C30" s="57">
        <f>SUM(C$6:C15)</f>
        <v>1430.492</v>
      </c>
      <c r="D30" s="57">
        <f>SUM(D$6:D15)</f>
        <v>1503.1999999999998</v>
      </c>
      <c r="E30" s="57">
        <f>SUM(E$6:E15)</f>
        <v>1394.23</v>
      </c>
      <c r="F30" s="67">
        <f>SUM(F$6:F15)</f>
        <v>1769</v>
      </c>
      <c r="G30" s="67">
        <f>SUM(G$6:G15)</f>
        <v>1464</v>
      </c>
      <c r="H30" s="51">
        <f>SUM(H$6:H15)</f>
        <v>2648</v>
      </c>
      <c r="I30" s="51">
        <f>SUM(I$6:I15)</f>
        <v>2775</v>
      </c>
      <c r="J30" s="51">
        <f>SUM(J$6:J15)</f>
        <v>2415</v>
      </c>
      <c r="K30" s="51">
        <f>SUM(K$6:K15)</f>
        <v>2429</v>
      </c>
      <c r="L30" s="51">
        <f>SUM(L$6:L15)</f>
        <v>2505</v>
      </c>
      <c r="M30" s="51">
        <f>SUM(M$6:M15)</f>
        <v>2274</v>
      </c>
      <c r="N30" s="51">
        <f>SUM(N$6:N15)</f>
        <v>2980</v>
      </c>
      <c r="O30" s="51">
        <f>SUM(O$6:O15)</f>
        <v>3050</v>
      </c>
      <c r="P30" s="51">
        <f>SUM(P$6:P15)</f>
        <v>3480</v>
      </c>
      <c r="Q30" s="51">
        <f>SUM(Q$6:Q15)</f>
        <v>4300</v>
      </c>
      <c r="R30" s="51">
        <f>SUM(R$6:R15)</f>
        <v>3848</v>
      </c>
      <c r="S30" s="51">
        <f>SUM(S$6:S15)</f>
        <v>3729</v>
      </c>
      <c r="T30" s="51">
        <f>SUM(T$6:T15)</f>
        <v>2313</v>
      </c>
      <c r="U30" s="54">
        <f>SUM(U$6:U15)</f>
        <v>1639</v>
      </c>
      <c r="V30" s="54">
        <f>SUM(V$6:V15)</f>
        <v>601</v>
      </c>
      <c r="W30" s="54">
        <f>SUM(W$6:W15)</f>
        <v>669</v>
      </c>
      <c r="X30" s="54">
        <f>SUM(X$6:X15)</f>
        <v>692</v>
      </c>
      <c r="Y30" s="54">
        <f>SUM(Y$6:Y15)</f>
        <v>922</v>
      </c>
      <c r="Z30" s="54">
        <f>SUM(Z$6:Z15)</f>
        <v>970</v>
      </c>
      <c r="AA30" s="54">
        <f>SUM(AA$6:AA15)</f>
        <v>1215</v>
      </c>
      <c r="AB30" s="54">
        <f>SUM(AB$6:AB15)</f>
        <v>840</v>
      </c>
      <c r="AC30" s="54">
        <f>SUM($AC$6:AC15)</f>
        <v>781</v>
      </c>
      <c r="AD30" s="54">
        <f>SUM($AD$6:AD15)</f>
        <v>876</v>
      </c>
      <c r="AE30" s="54">
        <f>SUM($AE$6:AE15)</f>
        <v>778</v>
      </c>
      <c r="AF30" s="54">
        <f>SUM($AF$6:AF15)</f>
        <v>740</v>
      </c>
      <c r="AG30" s="54">
        <f>SUM($AG$6:AG15)</f>
        <v>734</v>
      </c>
      <c r="AH30" s="54">
        <f>SUM($AH$6:AH15)</f>
        <v>603</v>
      </c>
      <c r="AI30" s="54">
        <f>SUM($AI$6:AI15)</f>
        <v>470</v>
      </c>
      <c r="AJ30" s="54">
        <f>SUM($AJ$6:AJ15)</f>
        <v>358</v>
      </c>
      <c r="AK30" s="54">
        <f>SUM($AK$6:AK15)</f>
        <v>325</v>
      </c>
      <c r="AL30" s="51"/>
      <c r="AM30" s="60">
        <f t="shared" si="52"/>
        <v>5.0827267821141078</v>
      </c>
      <c r="AN30" s="60">
        <f t="shared" si="52"/>
        <v>-7.2492017030335205</v>
      </c>
      <c r="AO30" s="60">
        <f t="shared" si="52"/>
        <v>26.88007000279724</v>
      </c>
      <c r="AP30" s="60">
        <f t="shared" si="52"/>
        <v>-17.241379310344826</v>
      </c>
      <c r="AQ30" s="60">
        <f t="shared" si="52"/>
        <v>80.874316939890718</v>
      </c>
      <c r="AR30" s="60">
        <f t="shared" si="52"/>
        <v>4.7960725075528643</v>
      </c>
      <c r="AS30" s="60">
        <f t="shared" si="35"/>
        <v>-12.972972972972968</v>
      </c>
      <c r="AT30" s="29">
        <f t="shared" si="36"/>
        <v>0.5797101449275317</v>
      </c>
      <c r="AU30" s="29">
        <f t="shared" si="37"/>
        <v>3.1288596130094675</v>
      </c>
      <c r="AV30" s="29">
        <f t="shared" si="38"/>
        <v>-9.2215568862275461</v>
      </c>
      <c r="AW30" s="29">
        <f t="shared" si="39"/>
        <v>31.046613896218105</v>
      </c>
      <c r="AX30" s="29">
        <f>100*O30/N30-100</f>
        <v>2.3489932885906057</v>
      </c>
      <c r="AY30" s="29">
        <f t="shared" si="40"/>
        <v>14.098360655737707</v>
      </c>
      <c r="AZ30" s="29">
        <f t="shared" si="47"/>
        <v>23.563218390804593</v>
      </c>
      <c r="BA30" s="29">
        <f t="shared" si="48"/>
        <v>-10.511627906976742</v>
      </c>
      <c r="BB30" s="29">
        <f t="shared" si="49"/>
        <v>-3.0925155925155821</v>
      </c>
      <c r="BC30" s="29">
        <f t="shared" si="42"/>
        <v>-37.972646822204347</v>
      </c>
      <c r="BD30" s="29">
        <f t="shared" si="43"/>
        <v>-29.139645482057929</v>
      </c>
      <c r="BE30" s="29">
        <f t="shared" si="44"/>
        <v>-59.182428309945088</v>
      </c>
      <c r="BF30" s="29">
        <f t="shared" si="45"/>
        <v>3.437967115097166</v>
      </c>
      <c r="BG30" s="29">
        <f t="shared" si="33"/>
        <v>33.236994219653184</v>
      </c>
      <c r="BH30" s="29">
        <f t="shared" si="33"/>
        <v>5.2060737527114895</v>
      </c>
      <c r="BI30" s="29">
        <f t="shared" si="33"/>
        <v>25.257731958762889</v>
      </c>
      <c r="BJ30" s="29">
        <f t="shared" si="33"/>
        <v>-30.864197530864203</v>
      </c>
      <c r="BK30" s="29">
        <f t="shared" si="33"/>
        <v>-7.0238095238095184</v>
      </c>
      <c r="BL30" s="29">
        <f t="shared" si="51"/>
        <v>12.163892445582576</v>
      </c>
      <c r="BM30" s="29">
        <f t="shared" si="51"/>
        <v>-11.187214611872136</v>
      </c>
      <c r="BN30" s="29">
        <f t="shared" si="50"/>
        <v>-4.8843187660668406</v>
      </c>
      <c r="BO30" s="29">
        <f t="shared" si="46"/>
        <v>-0.81081081081080697</v>
      </c>
      <c r="BP30" s="29">
        <f t="shared" si="46"/>
        <v>-17.847411444141699</v>
      </c>
      <c r="BQ30" s="29">
        <f t="shared" si="46"/>
        <v>-22.056384742951906</v>
      </c>
      <c r="BR30" s="29">
        <f t="shared" si="46"/>
        <v>-23.829787234042556</v>
      </c>
      <c r="BS30" s="29">
        <f t="shared" si="46"/>
        <v>-9.2178770949720672</v>
      </c>
      <c r="BT30" s="25"/>
      <c r="BU30" s="7" t="s">
        <v>48</v>
      </c>
      <c r="BZ30" s="19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</row>
    <row r="31" spans="1:95" ht="17.100000000000001" customHeight="1" x14ac:dyDescent="0.25">
      <c r="A31" s="4" t="s">
        <v>37</v>
      </c>
      <c r="B31" s="57">
        <f>SUM(B$6:B16)</f>
        <v>1429.777</v>
      </c>
      <c r="C31" s="57">
        <f>SUM(C$6:C16)</f>
        <v>1697.923</v>
      </c>
      <c r="D31" s="57">
        <f>SUM(D$6:D16)</f>
        <v>1639.7999999999997</v>
      </c>
      <c r="E31" s="57">
        <f>SUM(E$6:E16)</f>
        <v>1531.83</v>
      </c>
      <c r="F31" s="67">
        <f>SUM(F$6:F16)</f>
        <v>1922.6</v>
      </c>
      <c r="G31" s="67">
        <f>SUM(G$6:G16)</f>
        <v>1651</v>
      </c>
      <c r="H31" s="51">
        <f>SUM(H$6:H16)</f>
        <v>2880</v>
      </c>
      <c r="I31" s="51">
        <f>SUM(I$6:I16)</f>
        <v>3037</v>
      </c>
      <c r="J31" s="51">
        <f>SUM(J$6:J16)</f>
        <v>2647</v>
      </c>
      <c r="K31" s="51">
        <f>SUM(K$6:K16)</f>
        <v>2748</v>
      </c>
      <c r="L31" s="51">
        <f>SUM(L$6:L16)</f>
        <v>2724</v>
      </c>
      <c r="M31" s="51">
        <f>SUM(M$6:M16)</f>
        <v>2454</v>
      </c>
      <c r="N31" s="51">
        <f>SUM(N$6:N16)</f>
        <v>3197</v>
      </c>
      <c r="O31" s="51">
        <f>SUM(O$6:O16)</f>
        <v>3294</v>
      </c>
      <c r="P31" s="51">
        <f>SUM(P$6:P16)</f>
        <v>3792</v>
      </c>
      <c r="Q31" s="51">
        <f>SUM(Q$6:Q16)</f>
        <v>4811</v>
      </c>
      <c r="R31" s="51">
        <f>SUM(R$6:R16)</f>
        <v>4154</v>
      </c>
      <c r="S31" s="51">
        <f>SUM(S$6:S16)</f>
        <v>4112</v>
      </c>
      <c r="T31" s="51">
        <f>SUM(T$6:T16)</f>
        <v>2548</v>
      </c>
      <c r="U31" s="54">
        <f>SUM(U$6:U16)</f>
        <v>1791</v>
      </c>
      <c r="V31" s="54">
        <f>SUM(V$6:V16)</f>
        <v>662</v>
      </c>
      <c r="W31" s="54">
        <f>SUM(W$6:W16)</f>
        <v>740</v>
      </c>
      <c r="X31" s="54">
        <f>SUM(X$6:X16)</f>
        <v>766</v>
      </c>
      <c r="Y31" s="54">
        <f>SUM(Y$6:Y16)</f>
        <v>1012</v>
      </c>
      <c r="Z31" s="54">
        <f>SUM(Z$6:Z16)</f>
        <v>1095</v>
      </c>
      <c r="AA31" s="54">
        <f>SUM(AA$6:AA16)</f>
        <v>1319</v>
      </c>
      <c r="AB31" s="54">
        <f>SUM(AB$6:AB16)</f>
        <v>931</v>
      </c>
      <c r="AC31" s="54">
        <f>SUM($AC$6:AC16)</f>
        <v>855</v>
      </c>
      <c r="AD31" s="54">
        <f>SUM($AD$6:AD16)</f>
        <v>958</v>
      </c>
      <c r="AE31" s="54">
        <f>SUM($AE$6:AE16)</f>
        <v>865</v>
      </c>
      <c r="AF31" s="54">
        <f>SUM($AF$6:AF16)</f>
        <v>807</v>
      </c>
      <c r="AG31" s="54">
        <f>SUM($AG$6:AG16)</f>
        <v>779</v>
      </c>
      <c r="AH31" s="54">
        <f>SUM($AH$6:AH16)</f>
        <v>652</v>
      </c>
      <c r="AI31" s="54">
        <f>SUM($AI$6:AI16)</f>
        <v>523</v>
      </c>
      <c r="AJ31" s="54">
        <f>SUM($AJ$6:AJ16)</f>
        <v>386</v>
      </c>
      <c r="AK31" s="54">
        <f>SUM($AK$6:AK16)</f>
        <v>365</v>
      </c>
      <c r="AL31" s="51"/>
      <c r="AM31" s="60">
        <f t="shared" si="52"/>
        <v>-3.4231823233444771</v>
      </c>
      <c r="AN31" s="60">
        <f t="shared" si="52"/>
        <v>-6.5843395536040816</v>
      </c>
      <c r="AO31" s="60">
        <f t="shared" si="52"/>
        <v>25.510010901993041</v>
      </c>
      <c r="AP31" s="60">
        <f t="shared" si="52"/>
        <v>-14.12670342244877</v>
      </c>
      <c r="AQ31" s="60">
        <f t="shared" si="52"/>
        <v>74.439733494851595</v>
      </c>
      <c r="AR31" s="60">
        <f t="shared" si="52"/>
        <v>5.4513888888888857</v>
      </c>
      <c r="AS31" s="60">
        <f t="shared" si="35"/>
        <v>-12.841620019756334</v>
      </c>
      <c r="AT31" s="29">
        <f t="shared" si="36"/>
        <v>3.8156403475632743</v>
      </c>
      <c r="AU31" s="29">
        <f t="shared" si="37"/>
        <v>-0.8733624454148412</v>
      </c>
      <c r="AV31" s="29">
        <f t="shared" si="38"/>
        <v>-9.9118942731277571</v>
      </c>
      <c r="AW31" s="29">
        <f t="shared" si="39"/>
        <v>30.27709861450694</v>
      </c>
      <c r="AX31" s="29">
        <f>100*O31/N31-100</f>
        <v>3.0340944635595832</v>
      </c>
      <c r="AY31" s="29">
        <f t="shared" si="40"/>
        <v>15.118397085610198</v>
      </c>
      <c r="AZ31" s="29">
        <f t="shared" si="47"/>
        <v>26.872362869198312</v>
      </c>
      <c r="BA31" s="29">
        <f t="shared" si="48"/>
        <v>-13.656204531282484</v>
      </c>
      <c r="BB31" s="29">
        <f t="shared" si="49"/>
        <v>-1.0110736639383759</v>
      </c>
      <c r="BC31" s="29">
        <f t="shared" si="42"/>
        <v>-38.035019455252915</v>
      </c>
      <c r="BD31" s="29">
        <f t="shared" si="43"/>
        <v>-29.709576138147568</v>
      </c>
      <c r="BE31" s="29">
        <f t="shared" si="44"/>
        <v>-58.682300390843103</v>
      </c>
      <c r="BF31" s="29">
        <f t="shared" si="45"/>
        <v>3.5135135135135158</v>
      </c>
      <c r="BG31" s="29">
        <f t="shared" si="33"/>
        <v>32.114882506527408</v>
      </c>
      <c r="BH31" s="29">
        <f t="shared" si="33"/>
        <v>8.2015810276679986</v>
      </c>
      <c r="BI31" s="29">
        <f t="shared" si="33"/>
        <v>20.456621004566202</v>
      </c>
      <c r="BJ31" s="29">
        <f t="shared" si="33"/>
        <v>-29.416224412433664</v>
      </c>
      <c r="BK31" s="29">
        <f t="shared" si="33"/>
        <v>-8.1632653061224403</v>
      </c>
      <c r="BL31" s="29">
        <f t="shared" si="51"/>
        <v>12.046783625730995</v>
      </c>
      <c r="BM31" s="29">
        <f t="shared" si="51"/>
        <v>-9.7077244258872639</v>
      </c>
      <c r="BN31" s="29">
        <f t="shared" si="50"/>
        <v>-6.7052023121387236</v>
      </c>
      <c r="BO31" s="29">
        <f t="shared" si="46"/>
        <v>-3.4696406443618315</v>
      </c>
      <c r="BP31" s="29">
        <f t="shared" si="46"/>
        <v>-16.302952503209241</v>
      </c>
      <c r="BQ31" s="29">
        <f t="shared" si="46"/>
        <v>-19.785276073619627</v>
      </c>
      <c r="BR31" s="29">
        <f t="shared" si="46"/>
        <v>-26.195028680688338</v>
      </c>
      <c r="BS31" s="29">
        <f t="shared" si="46"/>
        <v>-5.4404145077720187</v>
      </c>
      <c r="BT31" s="25"/>
      <c r="BU31" s="7" t="s">
        <v>49</v>
      </c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</row>
    <row r="32" spans="1:95" ht="17.100000000000001" customHeight="1" x14ac:dyDescent="0.25">
      <c r="A32" s="9" t="s">
        <v>38</v>
      </c>
      <c r="B32" s="15">
        <f>SUM(B$6:B17)</f>
        <v>1553.6220000000001</v>
      </c>
      <c r="C32" s="15">
        <f>SUM(C$6:C17)</f>
        <v>1881.2570000000001</v>
      </c>
      <c r="D32" s="15">
        <f>SUM(D$6:D17)</f>
        <v>1774.1999999999998</v>
      </c>
      <c r="E32" s="15">
        <f>SUM(E$6:E17)</f>
        <v>1696.03</v>
      </c>
      <c r="F32" s="17">
        <f>SUM(F$6:F17)</f>
        <v>2102</v>
      </c>
      <c r="G32" s="17">
        <f>SUM(G$6:G17)</f>
        <v>1865</v>
      </c>
      <c r="H32" s="34">
        <f>SUM(H$6:H17)</f>
        <v>3138</v>
      </c>
      <c r="I32" s="34">
        <f>SUM(I$6:I17)</f>
        <v>3325</v>
      </c>
      <c r="J32" s="34">
        <f>SUM(J$6:J17)</f>
        <v>2901</v>
      </c>
      <c r="K32" s="34">
        <f>SUM(K$6:K17)</f>
        <v>3074</v>
      </c>
      <c r="L32" s="34">
        <f>SUM(L$6:L17)</f>
        <v>2963</v>
      </c>
      <c r="M32" s="34">
        <f>SUM(M$6:M17)</f>
        <v>2664</v>
      </c>
      <c r="N32" s="34">
        <f>SUM(N$6:N17)-2</f>
        <v>3365</v>
      </c>
      <c r="O32" s="34">
        <f>SUM(O$6:O17)</f>
        <v>3590</v>
      </c>
      <c r="P32" s="34">
        <f>SUM(P$6:P17)</f>
        <v>4229</v>
      </c>
      <c r="Q32" s="34">
        <f>SUM(Q$6:Q17)</f>
        <v>5356</v>
      </c>
      <c r="R32" s="34">
        <f>SUM(R$6:R17)</f>
        <v>4529</v>
      </c>
      <c r="S32" s="34">
        <f>SUM(S$6:S17)</f>
        <v>4560</v>
      </c>
      <c r="T32" s="34">
        <f>SUM(T$6:T17)</f>
        <v>2786</v>
      </c>
      <c r="U32" s="39">
        <f>SUM(U$6:U17)</f>
        <v>1936</v>
      </c>
      <c r="V32" s="39">
        <f>SUM(V$6:V17)</f>
        <v>729</v>
      </c>
      <c r="W32" s="39">
        <f>SUM(W$6:W17)</f>
        <v>804</v>
      </c>
      <c r="X32" s="39">
        <f>SUM(X$6:X17)</f>
        <v>851</v>
      </c>
      <c r="Y32" s="39">
        <f>SUM(Y$6:Y17)</f>
        <v>1111</v>
      </c>
      <c r="Z32" s="39">
        <f>SUM(Z$6:Z17)</f>
        <v>1209</v>
      </c>
      <c r="AA32" s="39">
        <f>SUM(AA$6:AA17)</f>
        <v>1431</v>
      </c>
      <c r="AB32" s="39">
        <f>SUM(AB$6:AB17)</f>
        <v>1014</v>
      </c>
      <c r="AC32" s="39">
        <f>SUM($AC$6:AC17)</f>
        <v>948</v>
      </c>
      <c r="AD32" s="39">
        <f>SUM($AD$6:AD17)</f>
        <v>1045</v>
      </c>
      <c r="AE32" s="72">
        <f>SUM($AE$6:AE17)</f>
        <v>975</v>
      </c>
      <c r="AF32" s="72">
        <f>SUM($AF$6:AF17)</f>
        <v>877</v>
      </c>
      <c r="AG32" s="72">
        <f>SUM($AG$6:AG17)</f>
        <v>838</v>
      </c>
      <c r="AH32" s="72">
        <f>SUM($AH$6:AH17)</f>
        <v>714</v>
      </c>
      <c r="AI32" s="72">
        <f>SUM($AI$6:AI17)</f>
        <v>575</v>
      </c>
      <c r="AJ32" s="72">
        <f>SUM($AJ$6:AJ17)</f>
        <v>413</v>
      </c>
      <c r="AK32" s="72"/>
      <c r="AL32" s="34"/>
      <c r="AM32" s="69">
        <f t="shared" si="52"/>
        <v>-5.6907163667696778</v>
      </c>
      <c r="AN32" s="69">
        <f t="shared" si="52"/>
        <v>-4.4059294329838679</v>
      </c>
      <c r="AO32" s="69">
        <f t="shared" si="52"/>
        <v>23.936486972518182</v>
      </c>
      <c r="AP32" s="69">
        <f t="shared" si="52"/>
        <v>-11.274976213130358</v>
      </c>
      <c r="AQ32" s="69">
        <f t="shared" si="52"/>
        <v>68.257372654155489</v>
      </c>
      <c r="AR32" s="69">
        <f t="shared" si="52"/>
        <v>5.9592096876991718</v>
      </c>
      <c r="AS32" s="69">
        <f t="shared" si="35"/>
        <v>-12.751879699248121</v>
      </c>
      <c r="AT32" s="33">
        <f t="shared" si="36"/>
        <v>5.9634608755601448</v>
      </c>
      <c r="AU32" s="33">
        <f t="shared" si="37"/>
        <v>-3.6109303838646696</v>
      </c>
      <c r="AV32" s="33">
        <f t="shared" si="38"/>
        <v>-10.09112386095174</v>
      </c>
      <c r="AW32" s="33">
        <f t="shared" si="39"/>
        <v>26.313813813813809</v>
      </c>
      <c r="AX32" s="33">
        <f>100*O32/N32-100</f>
        <v>6.6864784546805396</v>
      </c>
      <c r="AY32" s="33">
        <f t="shared" si="40"/>
        <v>17.799442896935929</v>
      </c>
      <c r="AZ32" s="33">
        <f t="shared" si="47"/>
        <v>26.649326081816028</v>
      </c>
      <c r="BA32" s="33">
        <f t="shared" si="47"/>
        <v>-15.440627333831216</v>
      </c>
      <c r="BB32" s="33">
        <f t="shared" si="49"/>
        <v>0.68447780967100869</v>
      </c>
      <c r="BC32" s="33">
        <f t="shared" si="42"/>
        <v>-38.903508771929829</v>
      </c>
      <c r="BD32" s="33">
        <f t="shared" si="43"/>
        <v>-30.509691313711414</v>
      </c>
      <c r="BE32" s="33">
        <f t="shared" si="44"/>
        <v>-58.471074380165291</v>
      </c>
      <c r="BF32" s="33">
        <f t="shared" si="45"/>
        <v>5.8457711442786007</v>
      </c>
      <c r="BG32" s="33">
        <f t="shared" si="33"/>
        <v>30.552291421856637</v>
      </c>
      <c r="BH32" s="33">
        <f t="shared" si="33"/>
        <v>8.820882088208819</v>
      </c>
      <c r="BI32" s="33">
        <f t="shared" si="33"/>
        <v>18.362282878411904</v>
      </c>
      <c r="BJ32" s="33">
        <f t="shared" si="33"/>
        <v>-29.140461215932916</v>
      </c>
      <c r="BK32" s="33">
        <f t="shared" si="33"/>
        <v>-6.5088757396449637</v>
      </c>
      <c r="BL32" s="33">
        <f t="shared" si="51"/>
        <v>10.232067510548532</v>
      </c>
      <c r="BM32" s="73">
        <f t="shared" si="51"/>
        <v>-6.6985645933014411</v>
      </c>
      <c r="BN32" s="73">
        <f t="shared" si="50"/>
        <v>-10.051282051282044</v>
      </c>
      <c r="BO32" s="73">
        <f t="shared" si="46"/>
        <v>-4.4469783352337515</v>
      </c>
      <c r="BP32" s="73">
        <f t="shared" si="46"/>
        <v>-14.797136038186153</v>
      </c>
      <c r="BQ32" s="73">
        <f t="shared" si="46"/>
        <v>-19.467787114845933</v>
      </c>
      <c r="BR32" s="73">
        <f t="shared" si="46"/>
        <v>-28.173913043478265</v>
      </c>
      <c r="BS32" s="73"/>
      <c r="BT32" s="6"/>
      <c r="BU32" s="11" t="s">
        <v>50</v>
      </c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</row>
    <row r="33" spans="1:78" ht="16.5" customHeight="1" x14ac:dyDescent="0.3">
      <c r="A33" s="18" t="s">
        <v>64</v>
      </c>
      <c r="B33" s="1"/>
      <c r="C33" s="1"/>
      <c r="D33" s="1"/>
      <c r="E33" s="1"/>
      <c r="F33" s="1"/>
      <c r="G33" s="1"/>
      <c r="H33" s="1"/>
      <c r="I33" s="1"/>
      <c r="J33" s="13"/>
      <c r="K33" s="13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25"/>
      <c r="AM33" s="1"/>
      <c r="AN33" s="1"/>
      <c r="AO33" s="1"/>
      <c r="AP33" s="1"/>
      <c r="AQ33" s="1"/>
      <c r="AR33" s="1"/>
      <c r="AS33" s="1"/>
      <c r="AT33" s="1"/>
      <c r="AX33"/>
      <c r="AY33"/>
      <c r="AZ33"/>
      <c r="BA33"/>
      <c r="BB33"/>
      <c r="BC33"/>
      <c r="BD33"/>
      <c r="BE33"/>
      <c r="BT33" s="1"/>
      <c r="BU33" s="35" t="s">
        <v>65</v>
      </c>
      <c r="BZ33" s="8"/>
    </row>
    <row r="34" spans="1:78" ht="20.25" customHeight="1" x14ac:dyDescent="0.3">
      <c r="A34" s="41"/>
      <c r="B34" s="1"/>
      <c r="C34" s="1"/>
      <c r="D34" s="1"/>
      <c r="E34" s="1"/>
      <c r="F34" s="1"/>
      <c r="G34" s="1"/>
      <c r="H34" s="1"/>
      <c r="I34" s="1"/>
      <c r="J34" s="13"/>
      <c r="K34" s="13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AL34" s="25"/>
      <c r="AM34" s="1"/>
      <c r="AN34" s="1"/>
      <c r="AO34" s="1"/>
      <c r="AP34" s="1"/>
      <c r="AQ34" s="1"/>
      <c r="AR34" s="1"/>
      <c r="AS34" s="1"/>
      <c r="AT34" s="1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 s="1"/>
      <c r="BU34" s="28"/>
      <c r="BZ34" s="19"/>
    </row>
    <row r="35" spans="1:78" ht="20.25" customHeight="1" x14ac:dyDescent="0.3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52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3"/>
    </row>
    <row r="36" spans="1:78" ht="18" x14ac:dyDescent="0.3">
      <c r="A36" s="42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5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</row>
    <row r="37" spans="1:78" ht="18" x14ac:dyDescent="0.3">
      <c r="A37" s="42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</row>
    <row r="38" spans="1:78" ht="18" x14ac:dyDescent="0.3">
      <c r="A38" s="42"/>
    </row>
    <row r="39" spans="1:78" hidden="1" x14ac:dyDescent="0.2">
      <c r="P39" s="2">
        <f>23+3064</f>
        <v>3087</v>
      </c>
      <c r="Q39" s="2">
        <f>3884+28</f>
        <v>3912</v>
      </c>
    </row>
  </sheetData>
  <mergeCells count="8">
    <mergeCell ref="Y4:AP4"/>
    <mergeCell ref="Y3:AP3"/>
    <mergeCell ref="Y18:AP18"/>
    <mergeCell ref="Y19:AP19"/>
    <mergeCell ref="BB3:BS3"/>
    <mergeCell ref="BB4:BS4"/>
    <mergeCell ref="BB18:BS18"/>
    <mergeCell ref="BB19:BS19"/>
  </mergeCells>
  <phoneticPr fontId="0" type="noConversion"/>
  <printOptions horizontalCentered="1" verticalCentered="1"/>
  <pageMargins left="0.59055118110236227" right="0.59055118110236227" top="0" bottom="0" header="0" footer="0"/>
  <pageSetup paperSize="9" scale="6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T 5.18</vt:lpstr>
      <vt:lpstr>'T 5.18'!Print_Area_MI</vt:lpstr>
      <vt:lpstr>'T 5.18'!Yazdırma_Alanı</vt:lpstr>
    </vt:vector>
  </TitlesOfParts>
  <Company>D.P.T.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Uğur AVŞAR</cp:lastModifiedBy>
  <cp:lastPrinted>2012-09-26T12:53:44Z</cp:lastPrinted>
  <dcterms:created xsi:type="dcterms:W3CDTF">1996-10-06T14:06:04Z</dcterms:created>
  <dcterms:modified xsi:type="dcterms:W3CDTF">2019-01-22T14:44:55Z</dcterms:modified>
</cp:coreProperties>
</file>